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Ex2.xml" ContentType="application/vnd.ms-office.chartex+xml"/>
  <Override PartName="/xl/charts/style3.xml" ContentType="application/vnd.ms-office.chartstyle+xml"/>
  <Override PartName="/xl/charts/colors3.xml" ContentType="application/vnd.ms-office.chartcolorstyle+xml"/>
  <Override PartName="/xl/charts/chart2.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Peter Lynch\Dropbox\Peter\ASM Website\Curricula\Financial Modeling Tier 1\4 LBO\"/>
    </mc:Choice>
  </mc:AlternateContent>
  <xr:revisionPtr revIDLastSave="0" documentId="13_ncr:1_{3BC9E29C-922A-4032-BE04-0F814BFB58FA}" xr6:coauthVersionLast="47" xr6:coauthVersionMax="47" xr10:uidLastSave="{00000000-0000-0000-0000-000000000000}"/>
  <bookViews>
    <workbookView xWindow="-110" yWindow="-110" windowWidth="38620" windowHeight="21100" xr2:uid="{6254B9F8-3D76-47D0-B547-8276F2AD117C}"/>
  </bookViews>
  <sheets>
    <sheet name="Description" sheetId="2" r:id="rId1"/>
    <sheet name="Independent Sponsor Comp" sheetId="4" r:id="rId2"/>
    <sheet name="Waterfall" sheetId="1" r:id="rId3"/>
  </sheets>
  <definedNames>
    <definedName name="_xlchart.v1.0" hidden="1">'Independent Sponsor Comp'!$B$106:$B$110</definedName>
    <definedName name="_xlchart.v1.1" hidden="1">'Independent Sponsor Comp'!$I$106:$I$110</definedName>
    <definedName name="_xlchart.v1.2" hidden="1">Waterfall!$B$48:$B$53</definedName>
    <definedName name="_xlchart.v1.3" hidden="1">Waterfall!$F$48:$F$53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4" l="1"/>
  <c r="D28" i="4"/>
  <c r="D29" i="4"/>
  <c r="D30" i="4"/>
  <c r="D31" i="4"/>
  <c r="F18" i="2"/>
  <c r="F19" i="2"/>
  <c r="F17" i="2"/>
  <c r="F16" i="2"/>
  <c r="F12" i="2"/>
  <c r="E23" i="4" l="1"/>
  <c r="E24" i="4"/>
  <c r="E25" i="4"/>
  <c r="E27" i="4"/>
  <c r="E28" i="4"/>
  <c r="E29" i="4"/>
  <c r="E30" i="4"/>
  <c r="E22" i="4"/>
  <c r="E15" i="4" l="1"/>
  <c r="D14" i="4" l="1"/>
  <c r="G86" i="4"/>
  <c r="G87" i="4" s="1"/>
  <c r="G80" i="4"/>
  <c r="G70" i="4"/>
  <c r="G61" i="4"/>
  <c r="G63" i="4" s="1"/>
  <c r="B23" i="4"/>
  <c r="I23" i="4" s="1"/>
  <c r="C21" i="4"/>
  <c r="C22" i="4" s="1"/>
  <c r="D22" i="4" s="1"/>
  <c r="Z53" i="1"/>
  <c r="Z50" i="1"/>
  <c r="Z51" i="1"/>
  <c r="Z52" i="1"/>
  <c r="Z49" i="1"/>
  <c r="F10" i="1"/>
  <c r="F49" i="1"/>
  <c r="AB50" i="1" s="1"/>
  <c r="F48" i="1"/>
  <c r="AA49" i="1" s="1"/>
  <c r="F17" i="1"/>
  <c r="F23" i="1" s="1"/>
  <c r="F16" i="1"/>
  <c r="C23" i="4" l="1"/>
  <c r="H23" i="4" s="1"/>
  <c r="B24" i="4"/>
  <c r="I24" i="4" s="1"/>
  <c r="H22" i="4"/>
  <c r="E21" i="4"/>
  <c r="F50" i="1"/>
  <c r="AB51" i="1" s="1"/>
  <c r="F25" i="1"/>
  <c r="F29" i="1" s="1"/>
  <c r="D23" i="4" l="1"/>
  <c r="C24" i="4"/>
  <c r="H24" i="4" s="1"/>
  <c r="G21" i="4"/>
  <c r="G33" i="4" s="1"/>
  <c r="E14" i="4"/>
  <c r="E13" i="4"/>
  <c r="I61" i="4" s="1"/>
  <c r="I70" i="4"/>
  <c r="B25" i="4"/>
  <c r="I25" i="4" s="1"/>
  <c r="F51" i="1"/>
  <c r="AB52" i="1" s="1"/>
  <c r="F31" i="1"/>
  <c r="D24" i="4" l="1"/>
  <c r="H99" i="4"/>
  <c r="I69" i="4"/>
  <c r="I106" i="4" s="1"/>
  <c r="C25" i="4"/>
  <c r="B26" i="4"/>
  <c r="F36" i="1"/>
  <c r="F43" i="1" s="1"/>
  <c r="F35" i="1"/>
  <c r="D25" i="4" l="1"/>
  <c r="C26" i="4"/>
  <c r="H25" i="4"/>
  <c r="B27" i="4"/>
  <c r="F38" i="1"/>
  <c r="F52" i="1" s="1"/>
  <c r="AB53" i="1" s="1"/>
  <c r="F42" i="1"/>
  <c r="D26" i="4" l="1"/>
  <c r="H26" i="4"/>
  <c r="E26" i="4"/>
  <c r="I27" i="4"/>
  <c r="H42" i="1"/>
  <c r="C27" i="4"/>
  <c r="H27" i="4" s="1"/>
  <c r="B28" i="4"/>
  <c r="F44" i="1"/>
  <c r="D43" i="1" s="1"/>
  <c r="I28" i="4" l="1"/>
  <c r="D42" i="1"/>
  <c r="C28" i="4"/>
  <c r="H28" i="4" s="1"/>
  <c r="B29" i="4"/>
  <c r="F53" i="1"/>
  <c r="C29" i="4" l="1"/>
  <c r="H29" i="4" s="1"/>
  <c r="B30" i="4"/>
  <c r="I30" i="4" l="1"/>
  <c r="C30" i="4"/>
  <c r="B31" i="4"/>
  <c r="H30" i="4"/>
  <c r="C31" i="4" l="1"/>
  <c r="H31" i="4" l="1"/>
  <c r="H33" i="4" s="1"/>
  <c r="E31" i="4"/>
  <c r="I63" i="4" s="1"/>
  <c r="I65" i="4" s="1"/>
  <c r="I74" i="4" l="1"/>
  <c r="I107" i="4" s="1"/>
  <c r="I100" i="4" l="1"/>
  <c r="I76" i="4"/>
  <c r="I80" i="4" s="1"/>
  <c r="I108" i="4" s="1"/>
  <c r="I101" i="4" l="1"/>
  <c r="I82" i="4"/>
  <c r="I87" i="4" s="1"/>
  <c r="I94" i="4" s="1"/>
  <c r="I22" i="4"/>
  <c r="I29" i="4"/>
  <c r="I86" i="4" l="1"/>
  <c r="I89" i="4"/>
  <c r="I93" i="4"/>
  <c r="I102" i="4" l="1"/>
  <c r="I109" i="4"/>
  <c r="I26" i="4"/>
  <c r="G93" i="4"/>
  <c r="I31" i="4"/>
  <c r="I95" i="4"/>
  <c r="I103" i="4" s="1"/>
  <c r="I110" i="4" s="1"/>
  <c r="I33" i="4" l="1"/>
</calcChain>
</file>

<file path=xl/sharedStrings.xml><?xml version="1.0" encoding="utf-8"?>
<sst xmlns="http://schemas.openxmlformats.org/spreadsheetml/2006/main" count="132" uniqueCount="88">
  <si>
    <t>Proceeds</t>
  </si>
  <si>
    <t>Capital Invested</t>
  </si>
  <si>
    <t>GP</t>
  </si>
  <si>
    <t>Limited Partners</t>
  </si>
  <si>
    <t>EQUITY PARTICIPATION TERMS</t>
  </si>
  <si>
    <t>First</t>
  </si>
  <si>
    <t>Second</t>
  </si>
  <si>
    <t>WATERFALL</t>
  </si>
  <si>
    <t>IRR Achieved</t>
  </si>
  <si>
    <t>Proceeds Remaining</t>
  </si>
  <si>
    <t>Sub Total</t>
  </si>
  <si>
    <t>GRAND TOTAL PROCEEDS</t>
  </si>
  <si>
    <t>TOTAL</t>
  </si>
  <si>
    <t>TRANSACTION</t>
  </si>
  <si>
    <t>IRR HURDLES AND PROCEEDS REQUIRED TO ACHIEVE HURDLES</t>
  </si>
  <si>
    <t>Hurdle</t>
  </si>
  <si>
    <t>Hurdle (%)</t>
  </si>
  <si>
    <t>Hurdle ($)</t>
  </si>
  <si>
    <t>Split</t>
  </si>
  <si>
    <t>Catch-Up</t>
  </si>
  <si>
    <t>CHART DATA</t>
  </si>
  <si>
    <t>Return of Capital</t>
  </si>
  <si>
    <t>Preferred Return</t>
  </si>
  <si>
    <t>GP Catch-Up</t>
  </si>
  <si>
    <t>LP/GP 80/20 Split</t>
  </si>
  <si>
    <t>Total Proceeds</t>
  </si>
  <si>
    <t>Distribution Waterfall</t>
  </si>
  <si>
    <t>ASimpleModel.com</t>
  </si>
  <si>
    <t>Private Equity Distribution Waterfall</t>
  </si>
  <si>
    <r>
      <t xml:space="preserve">1. </t>
    </r>
    <r>
      <rPr>
        <b/>
        <sz val="11"/>
        <color theme="1"/>
        <rFont val="Aptos Narrow"/>
        <family val="2"/>
        <scheme val="minor"/>
      </rPr>
      <t>RETURN OF CAPITAL:</t>
    </r>
    <r>
      <rPr>
        <sz val="11"/>
        <color theme="1"/>
        <rFont val="Aptos Narrow"/>
        <family val="2"/>
        <scheme val="minor"/>
      </rPr>
      <t xml:space="preserve"> Return of principal to Limited Partners.</t>
    </r>
  </si>
  <si>
    <r>
      <t xml:space="preserve">2. </t>
    </r>
    <r>
      <rPr>
        <b/>
        <sz val="11"/>
        <color theme="1"/>
        <rFont val="Aptos Narrow"/>
        <family val="2"/>
        <scheme val="minor"/>
      </rPr>
      <t>PREFERRED RETURN:</t>
    </r>
    <r>
      <rPr>
        <sz val="11"/>
        <color theme="1"/>
        <rFont val="Aptos Narrow"/>
        <family val="2"/>
        <scheme val="minor"/>
      </rPr>
      <t xml:space="preserve"> Plus an 8% cummulative return on principal to Limited Partners.</t>
    </r>
  </si>
  <si>
    <r>
      <t xml:space="preserve">3. </t>
    </r>
    <r>
      <rPr>
        <b/>
        <sz val="11"/>
        <color theme="1"/>
        <rFont val="Aptos Narrow"/>
        <family val="2"/>
        <scheme val="minor"/>
      </rPr>
      <t xml:space="preserve">GP CATCH-UP: </t>
    </r>
    <r>
      <rPr>
        <sz val="11"/>
        <color theme="1"/>
        <rFont val="Aptos Narrow"/>
        <family val="2"/>
        <scheme val="minor"/>
      </rPr>
      <t>Then a 20% catch-up for GP (equivalent to 20% of all distributions in steps 2 and 3).</t>
    </r>
  </si>
  <si>
    <r>
      <t xml:space="preserve">4. </t>
    </r>
    <r>
      <rPr>
        <b/>
        <sz val="11"/>
        <color theme="1"/>
        <rFont val="Aptos Narrow"/>
        <family val="2"/>
        <scheme val="minor"/>
      </rPr>
      <t xml:space="preserve">LP/GP 80/20 SPLIT: </t>
    </r>
    <r>
      <rPr>
        <sz val="11"/>
        <color theme="1"/>
        <rFont val="Aptos Narrow"/>
        <family val="2"/>
        <scheme val="minor"/>
      </rPr>
      <t>Finally, an 80 / 20 split between LP / GP.</t>
    </r>
  </si>
  <si>
    <t>This Workbook</t>
  </si>
  <si>
    <t>ASM on Social Media</t>
  </si>
  <si>
    <t>Instagram</t>
  </si>
  <si>
    <t>TikTok</t>
  </si>
  <si>
    <t>YouTube</t>
  </si>
  <si>
    <t>CHECK</t>
  </si>
  <si>
    <r>
      <t xml:space="preserve">First Distribution </t>
    </r>
    <r>
      <rPr>
        <sz val="11"/>
        <color theme="1"/>
        <rFont val="Aptos Narrow"/>
        <family val="2"/>
        <scheme val="minor"/>
      </rPr>
      <t>(Steps 1 &amp; 2)</t>
    </r>
  </si>
  <si>
    <t>Second Distribution</t>
  </si>
  <si>
    <t>Third Distribution</t>
  </si>
  <si>
    <t>Investment</t>
  </si>
  <si>
    <t>Exit</t>
  </si>
  <si>
    <t>EBITDA</t>
  </si>
  <si>
    <t>EV</t>
  </si>
  <si>
    <t>Close</t>
  </si>
  <si>
    <t>Closing Fee</t>
  </si>
  <si>
    <t>Management Fee</t>
  </si>
  <si>
    <t>Mgmt Fee</t>
  </si>
  <si>
    <t>Carried Interest</t>
  </si>
  <si>
    <t>Independent Sponsor Economics</t>
  </si>
  <si>
    <t>Closing Fee (% EV)</t>
  </si>
  <si>
    <t>Percent of EBITDA</t>
  </si>
  <si>
    <t>Fee Assumptions</t>
  </si>
  <si>
    <t>Cap</t>
  </si>
  <si>
    <t>Foor</t>
  </si>
  <si>
    <t>Equity Invested</t>
  </si>
  <si>
    <t>EBITDA at Close</t>
  </si>
  <si>
    <t>EBITDA Growth Rate (%)</t>
  </si>
  <si>
    <t>Exit Year</t>
  </si>
  <si>
    <t>Transaction Close Date</t>
  </si>
  <si>
    <t>Debt at Close</t>
  </si>
  <si>
    <t>GP (Independent Sponsor)</t>
  </si>
  <si>
    <t>Period</t>
  </si>
  <si>
    <t>Carry</t>
  </si>
  <si>
    <t>Totals</t>
  </si>
  <si>
    <t>Transaction Assumptions</t>
  </si>
  <si>
    <t>EBITDA Multiple at Close</t>
  </si>
  <si>
    <t>EBITDA Multiple at Exit</t>
  </si>
  <si>
    <t>Distribution Waterfall Totals</t>
  </si>
  <si>
    <t>Return of Capital &amp; Pref</t>
  </si>
  <si>
    <t>FCF Conversion Rate</t>
  </si>
  <si>
    <t>Cash</t>
  </si>
  <si>
    <t>Chart Data (Stacked Bars)</t>
  </si>
  <si>
    <t>Chart Data Waterfall</t>
  </si>
  <si>
    <t>Capital &amp; Pref</t>
  </si>
  <si>
    <t>80/20 Split</t>
  </si>
  <si>
    <t>DISCLAIMER: The information contained in this document has been made available on ASimpleModel.com and is subject to ASimpleModel.com’s Terms of Use.  This document is made available solely for general information purposes. ASimpleModel.com does not warrant the accuracy, completeness, or usefulness of this document.</t>
  </si>
  <si>
    <t>Learn More About Private Equity</t>
  </si>
  <si>
    <t>Private Equity Training Curriculum</t>
  </si>
  <si>
    <t>LINK</t>
  </si>
  <si>
    <t>https://www.asimplemodel.com/financial-curriculum/private-equity</t>
  </si>
  <si>
    <t>https://www.youtube.com/c/asimplemodel</t>
  </si>
  <si>
    <t>https://www.instagram.com/asimplemodel/</t>
  </si>
  <si>
    <t>https://www.tiktok.com/@asimplemodel</t>
  </si>
  <si>
    <t>LinkedIn</t>
  </si>
  <si>
    <t>https://www.linkedin.com/company/asimplemodel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</si>
</sst>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0.0%"/>
    <numFmt numFmtId="165" formatCode="_(&quot;$&quot;* #,##0.0_);_(&quot;$&quot;* \(#,##0.0\);_(&quot;$&quot;* &quot;-&quot;?_);_(@_)"/>
    <numFmt numFmtId="166" formatCode="&quot;Year &quot;0"/>
    <numFmt numFmtId="167" formatCode="0.0\x"/>
  </numFmts>
  <fonts count="17"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rgb="FF0000FF"/>
      <name val="Aptos Narrow"/>
      <family val="2"/>
      <scheme val="minor"/>
    </font>
    <font>
      <b/>
      <sz val="11"/>
      <name val="Aptos Narrow"/>
      <family val="2"/>
      <scheme val="minor"/>
    </font>
    <font>
      <b/>
      <sz val="14"/>
      <name val="Aptos Narrow"/>
      <family val="2"/>
      <scheme val="minor"/>
    </font>
    <font>
      <b/>
      <sz val="11"/>
      <color rgb="FF0000FF"/>
      <name val="Aptos Narrow"/>
      <family val="2"/>
      <scheme val="minor"/>
    </font>
    <font>
      <sz val="11"/>
      <name val="Aptos Narrow"/>
      <family val="2"/>
      <scheme val="minor"/>
    </font>
    <font>
      <b/>
      <sz val="11"/>
      <color rgb="FFC00000"/>
      <name val="Aptos Narrow"/>
      <family val="2"/>
      <scheme val="minor"/>
    </font>
    <font>
      <b/>
      <sz val="8"/>
      <color theme="0"/>
      <name val="Aptos Narrow"/>
      <family val="2"/>
      <scheme val="minor"/>
    </font>
    <font>
      <sz val="8"/>
      <color theme="1"/>
      <name val="Aptos Narrow"/>
      <family val="2"/>
      <scheme val="minor"/>
    </font>
    <font>
      <b/>
      <sz val="12"/>
      <color theme="1"/>
      <name val="Aptos Narrow"/>
      <family val="2"/>
      <scheme val="minor"/>
    </font>
    <font>
      <b/>
      <sz val="11"/>
      <color rgb="FF01509F"/>
      <name val="Aptos Narrow"/>
      <family val="2"/>
      <scheme val="minor"/>
    </font>
    <font>
      <b/>
      <sz val="20"/>
      <color rgb="FF01509F"/>
      <name val="Aptos Narrow"/>
      <family val="2"/>
      <scheme val="minor"/>
    </font>
    <font>
      <u/>
      <sz val="11"/>
      <color theme="10"/>
      <name val="Aptos Narrow"/>
      <family val="2"/>
      <scheme val="minor"/>
    </font>
    <font>
      <sz val="10"/>
      <color theme="1"/>
      <name val="Aptos Narrow"/>
      <family val="2"/>
      <scheme val="minor"/>
    </font>
    <font>
      <sz val="11"/>
      <color theme="0"/>
      <name val="Aptos Narrow"/>
      <family val="2"/>
      <scheme val="minor"/>
    </font>
  </fonts>
  <fills count="7">
    <fill>
      <patternFill patternType="none"/>
    </fill>
    <fill>
      <patternFill patternType="gray125"/>
    </fill>
    <fill>
      <patternFill patternType="solid">
        <fgColor rgb="FF01509F"/>
        <bgColor indexed="64"/>
      </patternFill>
    </fill>
    <fill>
      <patternFill patternType="solid">
        <fgColor theme="0" tint="-4.9989318521683403E-2"/>
        <bgColor indexed="64"/>
      </patternFill>
    </fill>
    <fill>
      <patternFill patternType="lightUp"/>
    </fill>
    <fill>
      <patternFill patternType="solid">
        <fgColor theme="3" tint="0.89999084444715716"/>
        <bgColor indexed="64"/>
      </patternFill>
    </fill>
    <fill>
      <patternFill patternType="solid">
        <fgColor theme="9"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4" fillId="0" borderId="0" applyNumberFormat="0" applyFill="0" applyBorder="0" applyAlignment="0" applyProtection="0"/>
  </cellStyleXfs>
  <cellXfs count="88">
    <xf numFmtId="0" fontId="0" fillId="0" borderId="0" xfId="0"/>
    <xf numFmtId="42" fontId="0" fillId="0" borderId="0" xfId="0" applyNumberFormat="1"/>
    <xf numFmtId="0" fontId="0" fillId="0" borderId="0" xfId="0" applyAlignment="1">
      <alignment horizontal="center"/>
    </xf>
    <xf numFmtId="164" fontId="3" fillId="0" borderId="0" xfId="0" applyNumberFormat="1" applyFont="1" applyAlignment="1">
      <alignment horizontal="center"/>
    </xf>
    <xf numFmtId="164" fontId="0" fillId="0" borderId="0" xfId="0" applyNumberFormat="1"/>
    <xf numFmtId="0" fontId="1" fillId="2" borderId="0" xfId="0" applyFont="1" applyFill="1"/>
    <xf numFmtId="0" fontId="1" fillId="0" borderId="0" xfId="0" applyFont="1"/>
    <xf numFmtId="0" fontId="5" fillId="0" borderId="0" xfId="0" applyFont="1"/>
    <xf numFmtId="14" fontId="0" fillId="0" borderId="0" xfId="0" applyNumberFormat="1" applyAlignment="1">
      <alignment horizontal="center"/>
    </xf>
    <xf numFmtId="0" fontId="2" fillId="0" borderId="0" xfId="0" applyFont="1"/>
    <xf numFmtId="14" fontId="6" fillId="0" borderId="0" xfId="0" applyNumberFormat="1" applyFont="1" applyAlignment="1">
      <alignment horizontal="center"/>
    </xf>
    <xf numFmtId="42" fontId="6" fillId="0" borderId="0" xfId="0" applyNumberFormat="1" applyFont="1"/>
    <xf numFmtId="0" fontId="0" fillId="3" borderId="0" xfId="0" applyFill="1"/>
    <xf numFmtId="42" fontId="0" fillId="3" borderId="0" xfId="0" applyNumberFormat="1" applyFill="1"/>
    <xf numFmtId="0" fontId="2" fillId="3" borderId="0" xfId="0" applyFont="1" applyFill="1"/>
    <xf numFmtId="42" fontId="2" fillId="3" borderId="0" xfId="0" applyNumberFormat="1" applyFont="1" applyFill="1"/>
    <xf numFmtId="0" fontId="2" fillId="3" borderId="0" xfId="0" applyFont="1" applyFill="1" applyAlignment="1">
      <alignment horizontal="center"/>
    </xf>
    <xf numFmtId="164" fontId="0" fillId="0" borderId="0" xfId="0" applyNumberFormat="1" applyAlignment="1">
      <alignment horizontal="center"/>
    </xf>
    <xf numFmtId="164" fontId="2" fillId="3" borderId="0" xfId="0" applyNumberFormat="1" applyFont="1" applyFill="1" applyAlignment="1">
      <alignment horizontal="center"/>
    </xf>
    <xf numFmtId="164" fontId="2" fillId="0" borderId="0" xfId="0" applyNumberFormat="1" applyFont="1" applyAlignment="1">
      <alignment horizontal="center"/>
    </xf>
    <xf numFmtId="42" fontId="2" fillId="0" borderId="0" xfId="0" applyNumberFormat="1" applyFont="1"/>
    <xf numFmtId="0" fontId="0" fillId="0" borderId="1" xfId="0" applyBorder="1"/>
    <xf numFmtId="0" fontId="0" fillId="0" borderId="2" xfId="0" applyBorder="1"/>
    <xf numFmtId="164" fontId="0" fillId="0" borderId="2" xfId="0" applyNumberFormat="1" applyBorder="1" applyAlignment="1">
      <alignment horizontal="center"/>
    </xf>
    <xf numFmtId="42" fontId="0" fillId="0" borderId="3" xfId="0" applyNumberFormat="1" applyBorder="1"/>
    <xf numFmtId="164" fontId="6" fillId="0" borderId="0" xfId="0" applyNumberFormat="1" applyFont="1" applyAlignment="1">
      <alignment horizontal="center"/>
    </xf>
    <xf numFmtId="0" fontId="2" fillId="0" borderId="4" xfId="0" applyFont="1" applyBorder="1"/>
    <xf numFmtId="42" fontId="2" fillId="0" borderId="4" xfId="0" applyNumberFormat="1" applyFont="1" applyBorder="1"/>
    <xf numFmtId="0" fontId="2" fillId="0" borderId="1" xfId="0" applyFont="1" applyBorder="1"/>
    <xf numFmtId="0" fontId="2" fillId="0" borderId="2" xfId="0" applyFont="1" applyBorder="1"/>
    <xf numFmtId="164" fontId="2" fillId="0" borderId="3" xfId="0" applyNumberFormat="1" applyFont="1" applyBorder="1"/>
    <xf numFmtId="164" fontId="0" fillId="0" borderId="2" xfId="0" applyNumberFormat="1" applyBorder="1"/>
    <xf numFmtId="165" fontId="0" fillId="0" borderId="0" xfId="0" applyNumberFormat="1"/>
    <xf numFmtId="0" fontId="4" fillId="3" borderId="0" xfId="0" applyFont="1" applyFill="1"/>
    <xf numFmtId="0" fontId="7" fillId="3" borderId="0" xfId="0" applyFont="1" applyFill="1"/>
    <xf numFmtId="0" fontId="8" fillId="0" borderId="0" xfId="0" applyFont="1"/>
    <xf numFmtId="9" fontId="0" fillId="0" borderId="0" xfId="0" applyNumberFormat="1"/>
    <xf numFmtId="0" fontId="9" fillId="2" borderId="0" xfId="0" applyFont="1" applyFill="1" applyAlignment="1">
      <alignment horizontal="center"/>
    </xf>
    <xf numFmtId="0" fontId="10" fillId="0" borderId="0" xfId="0" applyFont="1"/>
    <xf numFmtId="9" fontId="10" fillId="0" borderId="0" xfId="0" applyNumberFormat="1" applyFont="1" applyAlignment="1">
      <alignment horizontal="center"/>
    </xf>
    <xf numFmtId="0" fontId="10" fillId="0" borderId="0" xfId="0" applyFont="1" applyAlignment="1">
      <alignment horizontal="center"/>
    </xf>
    <xf numFmtId="42" fontId="10" fillId="0" borderId="0" xfId="0" applyNumberFormat="1" applyFont="1"/>
    <xf numFmtId="0" fontId="4" fillId="0" borderId="0" xfId="0" applyFont="1"/>
    <xf numFmtId="166" fontId="0" fillId="0" borderId="0" xfId="0" applyNumberFormat="1" applyAlignment="1">
      <alignment horizontal="left"/>
    </xf>
    <xf numFmtId="0" fontId="1" fillId="2" borderId="0" xfId="0" applyFont="1" applyFill="1" applyAlignment="1">
      <alignment horizontal="center"/>
    </xf>
    <xf numFmtId="0" fontId="0" fillId="0" borderId="0" xfId="0" applyAlignment="1">
      <alignment horizontal="left" indent="1"/>
    </xf>
    <xf numFmtId="42" fontId="0" fillId="0" borderId="0" xfId="0" applyNumberFormat="1" applyAlignment="1">
      <alignment horizontal="center"/>
    </xf>
    <xf numFmtId="9" fontId="3" fillId="0" borderId="0" xfId="0" applyNumberFormat="1" applyFont="1" applyAlignment="1">
      <alignment horizontal="center"/>
    </xf>
    <xf numFmtId="164" fontId="3" fillId="0" borderId="0" xfId="0" applyNumberFormat="1" applyFont="1"/>
    <xf numFmtId="42" fontId="7" fillId="0" borderId="0" xfId="0" applyNumberFormat="1" applyFont="1" applyAlignment="1">
      <alignment horizontal="center"/>
    </xf>
    <xf numFmtId="14" fontId="4" fillId="0" borderId="0" xfId="0" applyNumberFormat="1" applyFont="1" applyAlignment="1">
      <alignment horizontal="center"/>
    </xf>
    <xf numFmtId="42" fontId="4" fillId="0" borderId="0" xfId="0" applyNumberFormat="1" applyFont="1"/>
    <xf numFmtId="0" fontId="0" fillId="4" borderId="0" xfId="0" applyFill="1"/>
    <xf numFmtId="164" fontId="7" fillId="0" borderId="0" xfId="0" applyNumberFormat="1" applyFont="1" applyAlignment="1">
      <alignment horizontal="center"/>
    </xf>
    <xf numFmtId="164" fontId="4" fillId="0" borderId="0" xfId="0" applyNumberFormat="1" applyFont="1" applyAlignment="1">
      <alignment horizontal="center"/>
    </xf>
    <xf numFmtId="166" fontId="7" fillId="0" borderId="0" xfId="0" applyNumberFormat="1" applyFont="1" applyAlignment="1">
      <alignment horizontal="left"/>
    </xf>
    <xf numFmtId="0" fontId="2" fillId="5" borderId="0" xfId="0" applyFont="1" applyFill="1"/>
    <xf numFmtId="0" fontId="0" fillId="5" borderId="0" xfId="0" applyFill="1"/>
    <xf numFmtId="9" fontId="3" fillId="5" borderId="0" xfId="0" applyNumberFormat="1" applyFont="1" applyFill="1" applyAlignment="1">
      <alignment horizontal="center"/>
    </xf>
    <xf numFmtId="42" fontId="0" fillId="5" borderId="0" xfId="0" applyNumberFormat="1" applyFill="1"/>
    <xf numFmtId="0" fontId="2" fillId="5" borderId="0" xfId="0" applyFont="1" applyFill="1" applyAlignment="1">
      <alignment horizontal="left"/>
    </xf>
    <xf numFmtId="0" fontId="0" fillId="5" borderId="0" xfId="0" applyFill="1" applyAlignment="1">
      <alignment horizontal="left" indent="1"/>
    </xf>
    <xf numFmtId="164" fontId="3" fillId="5" borderId="0" xfId="0" applyNumberFormat="1" applyFont="1" applyFill="1"/>
    <xf numFmtId="42" fontId="3" fillId="5" borderId="0" xfId="0" applyNumberFormat="1" applyFont="1" applyFill="1"/>
    <xf numFmtId="0" fontId="2" fillId="5" borderId="0" xfId="0" applyFont="1" applyFill="1" applyAlignment="1">
      <alignment horizontal="center"/>
    </xf>
    <xf numFmtId="164" fontId="2" fillId="5" borderId="0" xfId="0" applyNumberFormat="1" applyFont="1" applyFill="1" applyAlignment="1">
      <alignment horizontal="center"/>
    </xf>
    <xf numFmtId="42" fontId="2" fillId="5" borderId="0" xfId="0" applyNumberFormat="1" applyFont="1" applyFill="1"/>
    <xf numFmtId="14" fontId="3" fillId="5" borderId="0" xfId="0" applyNumberFormat="1" applyFont="1" applyFill="1"/>
    <xf numFmtId="42" fontId="3" fillId="5" borderId="0" xfId="0" applyNumberFormat="1" applyFont="1" applyFill="1" applyAlignment="1">
      <alignment horizontal="right"/>
    </xf>
    <xf numFmtId="9" fontId="3" fillId="5" borderId="0" xfId="0" applyNumberFormat="1" applyFont="1" applyFill="1" applyAlignment="1">
      <alignment horizontal="right"/>
    </xf>
    <xf numFmtId="167" fontId="3" fillId="5" borderId="0" xfId="0" applyNumberFormat="1" applyFont="1" applyFill="1" applyAlignment="1">
      <alignment horizontal="right"/>
    </xf>
    <xf numFmtId="166" fontId="3" fillId="5" borderId="0" xfId="0" applyNumberFormat="1" applyFont="1" applyFill="1" applyAlignment="1">
      <alignment horizontal="right"/>
    </xf>
    <xf numFmtId="0" fontId="11" fillId="0" borderId="0" xfId="0" applyFont="1"/>
    <xf numFmtId="166" fontId="2" fillId="6" borderId="1" xfId="0" applyNumberFormat="1" applyFont="1" applyFill="1" applyBorder="1" applyAlignment="1">
      <alignment horizontal="left"/>
    </xf>
    <xf numFmtId="42" fontId="2" fillId="6" borderId="2" xfId="0" applyNumberFormat="1" applyFont="1" applyFill="1" applyBorder="1" applyAlignment="1">
      <alignment horizontal="center"/>
    </xf>
    <xf numFmtId="0" fontId="2" fillId="6" borderId="2" xfId="0" applyFont="1" applyFill="1" applyBorder="1"/>
    <xf numFmtId="42" fontId="2" fillId="6" borderId="2" xfId="0" applyNumberFormat="1" applyFont="1" applyFill="1" applyBorder="1"/>
    <xf numFmtId="42" fontId="2" fillId="6" borderId="3" xfId="0" applyNumberFormat="1" applyFont="1" applyFill="1" applyBorder="1"/>
    <xf numFmtId="42" fontId="3" fillId="0" borderId="0" xfId="0" applyNumberFormat="1" applyFont="1"/>
    <xf numFmtId="0" fontId="12" fillId="0" borderId="0" xfId="0" applyFont="1"/>
    <xf numFmtId="0" fontId="13" fillId="0" borderId="0" xfId="0" applyFont="1"/>
    <xf numFmtId="0" fontId="14" fillId="0" borderId="0" xfId="1" applyAlignment="1">
      <alignment horizontal="center"/>
    </xf>
    <xf numFmtId="0" fontId="14" fillId="0" borderId="0" xfId="1"/>
    <xf numFmtId="2" fontId="0" fillId="0" borderId="0" xfId="0" applyNumberFormat="1"/>
    <xf numFmtId="0" fontId="15" fillId="0" borderId="0" xfId="0" applyFont="1" applyAlignment="1">
      <alignment vertical="top" wrapText="1"/>
    </xf>
    <xf numFmtId="0" fontId="14" fillId="0" borderId="0" xfId="1" applyFont="1" applyAlignment="1">
      <alignment horizontal="center"/>
    </xf>
    <xf numFmtId="0" fontId="0" fillId="0" borderId="0" xfId="0" applyFont="1" applyAlignment="1">
      <alignment horizontal="center"/>
    </xf>
    <xf numFmtId="0" fontId="16" fillId="2" borderId="0" xfId="0" applyFont="1" applyFill="1"/>
  </cellXfs>
  <cellStyles count="2">
    <cellStyle name="Hyperlink" xfId="1" builtinId="8"/>
    <cellStyle name="Normal" xfId="0" builtinId="0"/>
  </cellStyles>
  <dxfs count="0"/>
  <tableStyles count="0" defaultTableStyle="TableStyleMedium2" defaultPivotStyle="PivotStyleLight16"/>
  <colors>
    <mruColors>
      <color rgb="FF01509F"/>
      <color rgb="FFFFFFCC"/>
      <color rgb="FF0000FF"/>
      <color rgb="FF132D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Distribution Waterfall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'Independent Sponsor Comp'!$B$99:$G$99</c:f>
              <c:strCache>
                <c:ptCount val="6"/>
                <c:pt idx="0">
                  <c:v>Capital Invested</c:v>
                </c:pt>
              </c:strCache>
            </c:strRef>
          </c:tx>
          <c:spPr>
            <a:solidFill>
              <a:schemeClr val="tx2">
                <a:lumMod val="25000"/>
                <a:lumOff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F-F940-49F0-9181-0A6FC52A4DB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'Independent Sponsor Comp'!$H$98:$I$98</c:f>
              <c:strCache>
                <c:ptCount val="2"/>
                <c:pt idx="0">
                  <c:v>Investment</c:v>
                </c:pt>
                <c:pt idx="1">
                  <c:v>Exit</c:v>
                </c:pt>
              </c:strCache>
            </c:strRef>
          </c:cat>
          <c:val>
            <c:numRef>
              <c:f>'Independent Sponsor Comp'!$H$99:$I$99</c:f>
              <c:numCache>
                <c:formatCode>_("$"* #,##0_);_("$"* \(#,##0\);_("$"* "-"_);_(@_)</c:formatCode>
                <c:ptCount val="2"/>
                <c:pt idx="0">
                  <c:v>7500</c:v>
                </c:pt>
                <c:pt idx="1">
                  <c:v>0</c:v>
                </c:pt>
              </c:numCache>
            </c:numRef>
          </c:val>
          <c:extLst>
            <c:ext xmlns:c16="http://schemas.microsoft.com/office/drawing/2014/chart" uri="{C3380CC4-5D6E-409C-BE32-E72D297353CC}">
              <c16:uniqueId val="{0000000A-F940-49F0-9181-0A6FC52A4DB7}"/>
            </c:ext>
          </c:extLst>
        </c:ser>
        <c:ser>
          <c:idx val="1"/>
          <c:order val="1"/>
          <c:tx>
            <c:strRef>
              <c:f>'Independent Sponsor Comp'!$B$100:$G$100</c:f>
              <c:strCache>
                <c:ptCount val="6"/>
                <c:pt idx="0">
                  <c:v>Return of Capital &amp; Pref</c:v>
                </c:pt>
              </c:strCache>
            </c:strRef>
          </c:tx>
          <c:spPr>
            <a:solidFill>
              <a:srgbClr val="01509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F940-49F0-9181-0A6FC52A4DB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15-F940-49F0-9181-0A6FC52A4DB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'Independent Sponsor Comp'!$H$98:$I$98</c:f>
              <c:strCache>
                <c:ptCount val="2"/>
                <c:pt idx="0">
                  <c:v>Investment</c:v>
                </c:pt>
                <c:pt idx="1">
                  <c:v>Exit</c:v>
                </c:pt>
              </c:strCache>
            </c:strRef>
          </c:cat>
          <c:val>
            <c:numRef>
              <c:f>'Independent Sponsor Comp'!$H$100:$I$100</c:f>
              <c:numCache>
                <c:formatCode>_("$"* #,##0_);_("$"* \(#,##0\);_("$"* "-"_);_(@_)</c:formatCode>
                <c:ptCount val="2"/>
                <c:pt idx="0">
                  <c:v>0</c:v>
                </c:pt>
                <c:pt idx="1">
                  <c:v>11019.960576000003</c:v>
                </c:pt>
              </c:numCache>
            </c:numRef>
          </c:val>
          <c:extLst>
            <c:ext xmlns:c16="http://schemas.microsoft.com/office/drawing/2014/chart" uri="{C3380CC4-5D6E-409C-BE32-E72D297353CC}">
              <c16:uniqueId val="{0000000B-F940-49F0-9181-0A6FC52A4DB7}"/>
            </c:ext>
          </c:extLst>
        </c:ser>
        <c:ser>
          <c:idx val="3"/>
          <c:order val="2"/>
          <c:tx>
            <c:strRef>
              <c:f>'Independent Sponsor Comp'!$B$101:$G$101</c:f>
              <c:strCache>
                <c:ptCount val="6"/>
                <c:pt idx="0">
                  <c:v>GP Catch-Up</c:v>
                </c:pt>
              </c:strCache>
            </c:strRef>
          </c:tx>
          <c:spPr>
            <a:solidFill>
              <a:srgbClr val="C000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F940-49F0-9181-0A6FC52A4DB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'Independent Sponsor Comp'!$H$98:$I$98</c:f>
              <c:strCache>
                <c:ptCount val="2"/>
                <c:pt idx="0">
                  <c:v>Investment</c:v>
                </c:pt>
                <c:pt idx="1">
                  <c:v>Exit</c:v>
                </c:pt>
              </c:strCache>
            </c:strRef>
          </c:cat>
          <c:val>
            <c:numRef>
              <c:f>'Independent Sponsor Comp'!$H$101:$I$101</c:f>
              <c:numCache>
                <c:formatCode>_("$"* #,##0_);_("$"* \(#,##0\);_("$"* "-"_);_(@_)</c:formatCode>
                <c:ptCount val="2"/>
                <c:pt idx="0">
                  <c:v>0</c:v>
                </c:pt>
                <c:pt idx="1">
                  <c:v>879.99014400000033</c:v>
                </c:pt>
              </c:numCache>
            </c:numRef>
          </c:val>
          <c:extLst>
            <c:ext xmlns:c16="http://schemas.microsoft.com/office/drawing/2014/chart" uri="{C3380CC4-5D6E-409C-BE32-E72D297353CC}">
              <c16:uniqueId val="{0000000D-F940-49F0-9181-0A6FC52A4DB7}"/>
            </c:ext>
          </c:extLst>
        </c:ser>
        <c:ser>
          <c:idx val="4"/>
          <c:order val="3"/>
          <c:tx>
            <c:strRef>
              <c:f>'Independent Sponsor Comp'!$B$102:$G$102</c:f>
              <c:strCache>
                <c:ptCount val="6"/>
                <c:pt idx="0">
                  <c:v>LP/GP 80/20 Split</c:v>
                </c:pt>
              </c:strCache>
            </c:strRef>
          </c:tx>
          <c:spPr>
            <a:gradFill flip="none" rotWithShape="1">
              <a:gsLst>
                <a:gs pos="79000">
                  <a:srgbClr val="01509F"/>
                </a:gs>
                <a:gs pos="80000">
                  <a:srgbClr val="C00000"/>
                </a:gs>
              </a:gsLst>
              <a:lin ang="0" scaled="1"/>
              <a:tileRect/>
            </a:gra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2-F940-49F0-9181-0A6FC52A4DB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13-F940-49F0-9181-0A6FC52A4D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'Independent Sponsor Comp'!$H$98:$I$98</c:f>
              <c:strCache>
                <c:ptCount val="2"/>
                <c:pt idx="0">
                  <c:v>Investment</c:v>
                </c:pt>
                <c:pt idx="1">
                  <c:v>Exit</c:v>
                </c:pt>
              </c:strCache>
            </c:strRef>
          </c:cat>
          <c:val>
            <c:numRef>
              <c:f>'Independent Sponsor Comp'!$H$102:$I$102</c:f>
              <c:numCache>
                <c:formatCode>_("$"* #,##0_);_("$"* \(#,##0\);_("$"* "-"_);_(@_)</c:formatCode>
                <c:ptCount val="2"/>
                <c:pt idx="0">
                  <c:v>0</c:v>
                </c:pt>
                <c:pt idx="1">
                  <c:v>8447.1419362499983</c:v>
                </c:pt>
              </c:numCache>
            </c:numRef>
          </c:val>
          <c:extLst>
            <c:ext xmlns:c16="http://schemas.microsoft.com/office/drawing/2014/chart" uri="{C3380CC4-5D6E-409C-BE32-E72D297353CC}">
              <c16:uniqueId val="{0000000E-F940-49F0-9181-0A6FC52A4DB7}"/>
            </c:ext>
          </c:extLst>
        </c:ser>
        <c:dLbls>
          <c:showLegendKey val="0"/>
          <c:showVal val="0"/>
          <c:showCatName val="0"/>
          <c:showSerName val="0"/>
          <c:showPercent val="0"/>
          <c:showBubbleSize val="0"/>
        </c:dLbls>
        <c:gapWidth val="81"/>
        <c:overlap val="100"/>
        <c:axId val="1937835680"/>
        <c:axId val="1937839520"/>
      </c:barChart>
      <c:catAx>
        <c:axId val="193783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1937839520"/>
        <c:crosses val="autoZero"/>
        <c:auto val="1"/>
        <c:lblAlgn val="ctr"/>
        <c:lblOffset val="100"/>
        <c:noMultiLvlLbl val="0"/>
      </c:catAx>
      <c:valAx>
        <c:axId val="1937839520"/>
        <c:scaling>
          <c:orientation val="minMax"/>
        </c:scaling>
        <c:delete val="0"/>
        <c:axPos val="l"/>
        <c:numFmt formatCode="_(&quot;$&quot;* #,##0_);_(&quot;$&quot;* \(#,##0\);_(&quot;$&quot;* &quot;-&quot;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37835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01509F"/>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Waterfall!$Z$49</c:f>
              <c:strCache>
                <c:ptCount val="1"/>
                <c:pt idx="0">
                  <c:v> Capital Invested </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28-234F-41F5-9B83-F8C63657C62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Waterfall!$AA$48:$AB$48</c:f>
              <c:strCache>
                <c:ptCount val="2"/>
                <c:pt idx="0">
                  <c:v>Investment</c:v>
                </c:pt>
                <c:pt idx="1">
                  <c:v>Exit</c:v>
                </c:pt>
              </c:strCache>
            </c:strRef>
          </c:cat>
          <c:val>
            <c:numRef>
              <c:f>Waterfall!$AA$49:$AB$49</c:f>
              <c:numCache>
                <c:formatCode>_("$"* #,##0_);_("$"* \(#,##0\);_("$"* "-"_);_(@_)</c:formatCode>
                <c:ptCount val="2"/>
                <c:pt idx="0">
                  <c:v>10000000</c:v>
                </c:pt>
                <c:pt idx="1">
                  <c:v>0</c:v>
                </c:pt>
              </c:numCache>
            </c:numRef>
          </c:val>
          <c:extLst>
            <c:ext xmlns:c16="http://schemas.microsoft.com/office/drawing/2014/chart" uri="{C3380CC4-5D6E-409C-BE32-E72D297353CC}">
              <c16:uniqueId val="{0000001C-234F-41F5-9B83-F8C63657C627}"/>
            </c:ext>
          </c:extLst>
        </c:ser>
        <c:ser>
          <c:idx val="1"/>
          <c:order val="1"/>
          <c:tx>
            <c:strRef>
              <c:f>Waterfall!$Z$50</c:f>
              <c:strCache>
                <c:ptCount val="1"/>
                <c:pt idx="0">
                  <c:v> Return of Capital </c:v>
                </c:pt>
              </c:strCache>
            </c:strRef>
          </c:tx>
          <c:spPr>
            <a:solidFill>
              <a:schemeClr val="bg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5-234F-41F5-9B83-F8C63657C62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Waterfall!$AA$48:$AB$48</c:f>
              <c:strCache>
                <c:ptCount val="2"/>
                <c:pt idx="0">
                  <c:v>Investment</c:v>
                </c:pt>
                <c:pt idx="1">
                  <c:v>Exit</c:v>
                </c:pt>
              </c:strCache>
            </c:strRef>
          </c:cat>
          <c:val>
            <c:numRef>
              <c:f>Waterfall!$AA$50:$AB$50</c:f>
              <c:numCache>
                <c:formatCode>_("$"* #,##0_);_("$"* \(#,##0\);_("$"* "-"_);_(@_)</c:formatCode>
                <c:ptCount val="2"/>
                <c:pt idx="0">
                  <c:v>0</c:v>
                </c:pt>
                <c:pt idx="1">
                  <c:v>10000000</c:v>
                </c:pt>
              </c:numCache>
            </c:numRef>
          </c:val>
          <c:extLst>
            <c:ext xmlns:c16="http://schemas.microsoft.com/office/drawing/2014/chart" uri="{C3380CC4-5D6E-409C-BE32-E72D297353CC}">
              <c16:uniqueId val="{00000021-234F-41F5-9B83-F8C63657C627}"/>
            </c:ext>
          </c:extLst>
        </c:ser>
        <c:ser>
          <c:idx val="2"/>
          <c:order val="2"/>
          <c:tx>
            <c:strRef>
              <c:f>Waterfall!$Z$51</c:f>
              <c:strCache>
                <c:ptCount val="1"/>
                <c:pt idx="0">
                  <c:v> Preferred Return </c:v>
                </c:pt>
              </c:strCache>
            </c:strRef>
          </c:tx>
          <c:spPr>
            <a:solidFill>
              <a:srgbClr val="01509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6-234F-41F5-9B83-F8C63657C62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Waterfall!$AA$48:$AB$48</c:f>
              <c:strCache>
                <c:ptCount val="2"/>
                <c:pt idx="0">
                  <c:v>Investment</c:v>
                </c:pt>
                <c:pt idx="1">
                  <c:v>Exit</c:v>
                </c:pt>
              </c:strCache>
            </c:strRef>
          </c:cat>
          <c:val>
            <c:numRef>
              <c:f>Waterfall!$AA$51:$AB$51</c:f>
              <c:numCache>
                <c:formatCode>_("$"* #,##0_);_("$"* \(#,##0\);_("$"* "-"_);_(@_)</c:formatCode>
                <c:ptCount val="2"/>
                <c:pt idx="0">
                  <c:v>0</c:v>
                </c:pt>
                <c:pt idx="1">
                  <c:v>4693280.768000003</c:v>
                </c:pt>
              </c:numCache>
            </c:numRef>
          </c:val>
          <c:extLst>
            <c:ext xmlns:c16="http://schemas.microsoft.com/office/drawing/2014/chart" uri="{C3380CC4-5D6E-409C-BE32-E72D297353CC}">
              <c16:uniqueId val="{00000022-234F-41F5-9B83-F8C63657C627}"/>
            </c:ext>
          </c:extLst>
        </c:ser>
        <c:ser>
          <c:idx val="3"/>
          <c:order val="3"/>
          <c:tx>
            <c:strRef>
              <c:f>Waterfall!$Z$52</c:f>
              <c:strCache>
                <c:ptCount val="1"/>
                <c:pt idx="0">
                  <c:v> GP Catch-Up </c:v>
                </c:pt>
              </c:strCache>
            </c:strRef>
          </c:tx>
          <c:spPr>
            <a:solidFill>
              <a:srgbClr val="C000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9-234F-41F5-9B83-F8C63657C62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Waterfall!$AA$48:$AB$48</c:f>
              <c:strCache>
                <c:ptCount val="2"/>
                <c:pt idx="0">
                  <c:v>Investment</c:v>
                </c:pt>
                <c:pt idx="1">
                  <c:v>Exit</c:v>
                </c:pt>
              </c:strCache>
            </c:strRef>
          </c:cat>
          <c:val>
            <c:numRef>
              <c:f>Waterfall!$AA$52:$AB$52</c:f>
              <c:numCache>
                <c:formatCode>_("$"* #,##0_);_("$"* \(#,##0\);_("$"* "-"_);_(@_)</c:formatCode>
                <c:ptCount val="2"/>
                <c:pt idx="0">
                  <c:v>0</c:v>
                </c:pt>
                <c:pt idx="1">
                  <c:v>1173320.1920000007</c:v>
                </c:pt>
              </c:numCache>
            </c:numRef>
          </c:val>
          <c:extLst>
            <c:ext xmlns:c16="http://schemas.microsoft.com/office/drawing/2014/chart" uri="{C3380CC4-5D6E-409C-BE32-E72D297353CC}">
              <c16:uniqueId val="{00000023-234F-41F5-9B83-F8C63657C627}"/>
            </c:ext>
          </c:extLst>
        </c:ser>
        <c:ser>
          <c:idx val="4"/>
          <c:order val="4"/>
          <c:tx>
            <c:strRef>
              <c:f>Waterfall!$Z$53</c:f>
              <c:strCache>
                <c:ptCount val="1"/>
                <c:pt idx="0">
                  <c:v> LP/GP 80/20 Split </c:v>
                </c:pt>
              </c:strCache>
            </c:strRef>
          </c:tx>
          <c:spPr>
            <a:gradFill flip="none" rotWithShape="1">
              <a:gsLst>
                <a:gs pos="78000">
                  <a:srgbClr val="01509F"/>
                </a:gs>
                <a:gs pos="78000">
                  <a:srgbClr val="C00000"/>
                </a:gs>
              </a:gsLst>
              <a:lin ang="0" scaled="1"/>
              <a:tileRect/>
            </a:gra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34F-41F5-9B83-F8C63657C62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Waterfall!$AA$48:$AB$48</c:f>
              <c:strCache>
                <c:ptCount val="2"/>
                <c:pt idx="0">
                  <c:v>Investment</c:v>
                </c:pt>
                <c:pt idx="1">
                  <c:v>Exit</c:v>
                </c:pt>
              </c:strCache>
            </c:strRef>
          </c:cat>
          <c:val>
            <c:numRef>
              <c:f>Waterfall!$AA$53:$AB$53</c:f>
              <c:numCache>
                <c:formatCode>_("$"* #,##0_);_("$"* \(#,##0\);_("$"* "-"_);_(@_)</c:formatCode>
                <c:ptCount val="2"/>
                <c:pt idx="0">
                  <c:v>0</c:v>
                </c:pt>
                <c:pt idx="1">
                  <c:v>14133399.039999995</c:v>
                </c:pt>
              </c:numCache>
            </c:numRef>
          </c:val>
          <c:extLst>
            <c:ext xmlns:c16="http://schemas.microsoft.com/office/drawing/2014/chart" uri="{C3380CC4-5D6E-409C-BE32-E72D297353CC}">
              <c16:uniqueId val="{00000024-234F-41F5-9B83-F8C63657C627}"/>
            </c:ext>
          </c:extLst>
        </c:ser>
        <c:dLbls>
          <c:showLegendKey val="0"/>
          <c:showVal val="0"/>
          <c:showCatName val="0"/>
          <c:showSerName val="0"/>
          <c:showPercent val="0"/>
          <c:showBubbleSize val="0"/>
        </c:dLbls>
        <c:gapWidth val="81"/>
        <c:overlap val="100"/>
        <c:axId val="1937835680"/>
        <c:axId val="1937839520"/>
      </c:barChart>
      <c:catAx>
        <c:axId val="193783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1937839520"/>
        <c:crosses val="autoZero"/>
        <c:auto val="1"/>
        <c:lblAlgn val="ctr"/>
        <c:lblOffset val="100"/>
        <c:noMultiLvlLbl val="0"/>
      </c:catAx>
      <c:valAx>
        <c:axId val="1937839520"/>
        <c:scaling>
          <c:orientation val="minMax"/>
          <c:max val="30000000"/>
        </c:scaling>
        <c:delete val="0"/>
        <c:axPos val="l"/>
        <c:numFmt formatCode="_(&quot;$&quot;* #,##0_);_(&quot;$&quot;* \(#,##0\);_(&quot;$&quot;* &quot;-&quot;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7835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01509F"/>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series layoutId="waterfall" uniqueId="{BD25BDD7-6032-452E-8791-8CA7734EFF97}">
          <cx:dataPt idx="0">
            <cx:spPr>
              <a:solidFill>
                <a:srgbClr val="0E2841">
                  <a:lumMod val="25000"/>
                  <a:lumOff val="75000"/>
                </a:srgbClr>
              </a:solidFill>
            </cx:spPr>
          </cx:dataPt>
          <cx:dataPt idx="1">
            <cx:spPr>
              <a:solidFill>
                <a:srgbClr val="01509F"/>
              </a:solidFill>
            </cx:spPr>
          </cx:dataPt>
          <cx:dataPt idx="2">
            <cx:spPr>
              <a:solidFill>
                <a:srgbClr val="C00000"/>
              </a:solidFill>
            </cx:spPr>
          </cx:dataPt>
          <cx:dataPt idx="3">
            <cx:spPr>
              <a:gradFill>
                <a:gsLst>
                  <a:gs pos="79000">
                    <a:srgbClr val="01509F"/>
                  </a:gs>
                  <a:gs pos="80000">
                    <a:srgbClr val="C00000"/>
                  </a:gs>
                </a:gsLst>
                <a:lin ang="0" scaled="1"/>
              </a:gradFill>
            </cx:spPr>
          </cx:dataPt>
          <cx:dataPt idx="4">
            <cx:spPr>
              <a:solidFill>
                <a:srgbClr val="0E2841">
                  <a:lumMod val="25000"/>
                  <a:lumOff val="75000"/>
                </a:srgbClr>
              </a:solidFill>
            </cx:spPr>
          </cx:dataPt>
          <cx:dataLabels pos="outEnd">
            <cx:txPr>
              <a:bodyPr spcFirstLastPara="1" vertOverflow="ellipsis" horzOverflow="overflow" wrap="square" lIns="0" tIns="0" rIns="0" bIns="0" anchor="ctr" anchorCtr="1"/>
              <a:lstStyle/>
              <a:p>
                <a:pPr algn="ctr" rtl="0">
                  <a:defRPr b="1">
                    <a:solidFill>
                      <a:sysClr val="windowText" lastClr="000000"/>
                    </a:solidFill>
                  </a:defRPr>
                </a:pPr>
                <a:endParaRPr lang="en-US" sz="900" b="1" i="0" u="none" strike="noStrike" baseline="0">
                  <a:solidFill>
                    <a:sysClr val="windowText" lastClr="000000"/>
                  </a:solidFill>
                  <a:latin typeface="Aptos Narrow" panose="02110004020202020204"/>
                </a:endParaRPr>
              </a:p>
            </cx:txPr>
            <cx:visibility seriesName="0" categoryName="0" value="1"/>
          </cx:dataLabels>
          <cx:dataId val="0"/>
          <cx:layoutPr>
            <cx:subtotals>
              <cx:idx val="1"/>
              <cx:idx val="4"/>
            </cx:subtotals>
          </cx:layoutPr>
        </cx:series>
      </cx:plotAreaRegion>
      <cx:axis id="0">
        <cx:catScaling gapWidth="0.5"/>
        <cx:tickLabels/>
        <cx:txPr>
          <a:bodyPr spcFirstLastPara="1" vertOverflow="ellipsis" horzOverflow="overflow" wrap="square" lIns="0" tIns="0" rIns="0" bIns="0" anchor="ctr" anchorCtr="1"/>
          <a:lstStyle/>
          <a:p>
            <a:pPr algn="ctr" rtl="0">
              <a:defRPr sz="1000" b="1">
                <a:solidFill>
                  <a:sysClr val="windowText" lastClr="000000"/>
                </a:solidFill>
              </a:defRPr>
            </a:pPr>
            <a:endParaRPr lang="en-US" sz="1000" b="1" i="0" u="none" strike="noStrike" baseline="0">
              <a:solidFill>
                <a:sysClr val="windowText" lastClr="000000"/>
              </a:solidFill>
              <a:latin typeface="Aptos Narrow" panose="02110004020202020204"/>
            </a:endParaRPr>
          </a:p>
        </cx:txPr>
      </cx:axis>
      <cx:axis id="1" hidden="1">
        <cx:valScaling/>
        <cx:majorGridlines>
          <cx:spPr>
            <a:ln>
              <a:noFill/>
            </a:ln>
          </cx:spPr>
        </cx:majorGridlines>
        <cx:tickLabels/>
      </cx:axis>
    </cx:plotArea>
  </cx:chart>
  <cx:spPr>
    <a:noFill/>
    <a:ln w="19050">
      <a:solidFill>
        <a:srgbClr val="01509F"/>
      </a:solid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title pos="t" align="ctr" overlay="0">
      <cx:tx>
        <cx:txData>
          <cx:v>Distribution Waterfall</cx:v>
        </cx:txData>
      </cx:tx>
      <cx:txPr>
        <a:bodyPr spcFirstLastPara="1" vertOverflow="ellipsis" horzOverflow="overflow" wrap="square" lIns="0" tIns="0" rIns="0" bIns="0" anchor="ctr" anchorCtr="1"/>
        <a:lstStyle/>
        <a:p>
          <a:pPr algn="ctr" rtl="0">
            <a:defRPr>
              <a:solidFill>
                <a:sysClr val="windowText" lastClr="000000"/>
              </a:solidFill>
            </a:defRPr>
          </a:pPr>
          <a:r>
            <a:rPr lang="en-US" sz="2000" b="1" i="0" u="none" strike="noStrike" baseline="0">
              <a:solidFill>
                <a:sysClr val="windowText" lastClr="000000"/>
              </a:solidFill>
              <a:latin typeface="Aptos Narrow" panose="02110004020202020204"/>
            </a:rPr>
            <a:t>Distribution Waterfall</a:t>
          </a:r>
        </a:p>
      </cx:txPr>
    </cx:title>
    <cx:plotArea>
      <cx:plotAreaRegion>
        <cx:series layoutId="waterfall" uniqueId="{00000006-972C-41F6-B88F-F494E43FD5DA}">
          <cx:tx>
            <cx:txData>
              <cx:f>_xlchart.v1.2</cx:f>
              <cx:v>Capital Invested Return of Capital Preferred Return GP Catch-Up LP/GP 80/20 Split Total Proceeds</cx:v>
            </cx:txData>
          </cx:tx>
          <cx:dataPt idx="0">
            <cx:spPr>
              <a:solidFill>
                <a:sysClr val="windowText" lastClr="000000">
                  <a:lumMod val="50000"/>
                  <a:lumOff val="50000"/>
                </a:sysClr>
              </a:solidFill>
            </cx:spPr>
          </cx:dataPt>
          <cx:dataPt idx="1">
            <cx:spPr>
              <a:solidFill>
                <a:srgbClr val="01509F"/>
              </a:solidFill>
            </cx:spPr>
          </cx:dataPt>
          <cx:dataPt idx="2">
            <cx:spPr>
              <a:solidFill>
                <a:srgbClr val="01509F"/>
              </a:solidFill>
            </cx:spPr>
          </cx:dataPt>
          <cx:dataPt idx="3">
            <cx:spPr>
              <a:solidFill>
                <a:srgbClr val="C00000"/>
              </a:solidFill>
            </cx:spPr>
          </cx:dataPt>
          <cx:dataPt idx="4">
            <cx:spPr>
              <a:gradFill flip="none" rotWithShape="1">
                <a:gsLst>
                  <a:gs pos="80000">
                    <a:srgbClr val="01509F"/>
                  </a:gs>
                  <a:gs pos="81000">
                    <a:srgbClr val="C00000"/>
                  </a:gs>
                </a:gsLst>
                <a:lin ang="0" scaled="1"/>
                <a:tileRect/>
              </a:gradFill>
            </cx:spPr>
          </cx:dataPt>
          <cx:dataPt idx="5">
            <cx:spPr>
              <a:solidFill>
                <a:sysClr val="windowText" lastClr="000000">
                  <a:lumMod val="50000"/>
                  <a:lumOff val="50000"/>
                </a:sysClr>
              </a:solidFill>
            </cx:spPr>
          </cx:dataPt>
          <cx:dataLabels>
            <cx:txPr>
              <a:bodyPr spcFirstLastPara="1" vertOverflow="ellipsis" horzOverflow="overflow" wrap="square" lIns="0" tIns="0" rIns="0" bIns="0" anchor="ctr" anchorCtr="1"/>
              <a:lstStyle/>
              <a:p>
                <a:pPr algn="ctr" rtl="0">
                  <a:defRPr sz="1100" b="1">
                    <a:solidFill>
                      <a:sysClr val="windowText" lastClr="000000"/>
                    </a:solidFill>
                  </a:defRPr>
                </a:pPr>
                <a:endParaRPr lang="en-US" sz="1100" b="1" i="0" u="none" strike="noStrike" baseline="0">
                  <a:solidFill>
                    <a:sysClr val="windowText" lastClr="000000"/>
                  </a:solidFill>
                  <a:latin typeface="Aptos Narrow" panose="02110004020202020204"/>
                </a:endParaRPr>
              </a:p>
            </cx:txPr>
          </cx:dataLabels>
          <cx:dataId val="0"/>
          <cx:layoutPr>
            <cx:visibility connectorLines="1"/>
            <cx:subtotals>
              <cx:idx val="1"/>
              <cx:idx val="5"/>
            </cx:subtotals>
          </cx:layoutPr>
        </cx:series>
      </cx:plotAreaRegion>
      <cx:axis id="0">
        <cx:catScaling gapWidth="0.5"/>
        <cx:tickLabels/>
        <cx:spPr>
          <a:ln w="15875">
            <a:solidFill>
              <a:schemeClr val="tx1">
                <a:lumMod val="50000"/>
                <a:lumOff val="50000"/>
              </a:schemeClr>
            </a:solidFill>
          </a:ln>
        </cx:spPr>
        <cx:txPr>
          <a:bodyPr spcFirstLastPara="1" vertOverflow="ellipsis" horzOverflow="overflow" wrap="square" lIns="0" tIns="0" rIns="0" bIns="0" anchor="ctr" anchorCtr="1"/>
          <a:lstStyle/>
          <a:p>
            <a:pPr algn="ctr" rtl="0">
              <a:defRPr sz="1200" b="1">
                <a:solidFill>
                  <a:sysClr val="windowText" lastClr="000000"/>
                </a:solidFill>
              </a:defRPr>
            </a:pPr>
            <a:endParaRPr lang="en-US" sz="1200" b="1" i="0" u="none" strike="noStrike" baseline="0">
              <a:solidFill>
                <a:sysClr val="windowText" lastClr="000000"/>
              </a:solidFill>
              <a:latin typeface="Aptos Narrow" panose="02110004020202020204"/>
            </a:endParaRPr>
          </a:p>
        </cx:txPr>
      </cx:axis>
      <cx:axis id="1" hidden="1">
        <cx:valScaling/>
        <cx:majorGridlines>
          <cx:spPr>
            <a:ln>
              <a:noFill/>
            </a:ln>
          </cx:spPr>
        </cx:majorGridlines>
        <cx:tickLabels/>
        <cx:txPr>
          <a:bodyPr spcFirstLastPara="1" vertOverflow="ellipsis" horzOverflow="overflow" wrap="square" lIns="0" tIns="0" rIns="0" bIns="0" anchor="ctr" anchorCtr="1"/>
          <a:lstStyle/>
          <a:p>
            <a:pPr algn="ctr" rtl="0">
              <a:defRPr>
                <a:ln>
                  <a:noFill/>
                </a:ln>
              </a:defRPr>
            </a:pPr>
            <a:endParaRPr lang="en-US" sz="900" b="0" i="0" u="none" strike="noStrike" baseline="0">
              <a:ln>
                <a:noFill/>
              </a:ln>
              <a:solidFill>
                <a:sysClr val="windowText" lastClr="000000">
                  <a:lumMod val="65000"/>
                  <a:lumOff val="35000"/>
                </a:sysClr>
              </a:solidFill>
              <a:latin typeface="Aptos Narrow" panose="02110004020202020204"/>
            </a:endParaRPr>
          </a:p>
        </cx:txPr>
      </cx:axis>
    </cx:plotArea>
  </cx:chart>
  <cx:spPr>
    <a:ln w="22225">
      <a:solidFill>
        <a:srgbClr val="01509F"/>
      </a:solid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microsoft.com/office/2014/relationships/chartEx" Target="../charts/chartEx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120650</xdr:colOff>
      <xdr:row>3</xdr:row>
      <xdr:rowOff>12701</xdr:rowOff>
    </xdr:from>
    <xdr:to>
      <xdr:col>14</xdr:col>
      <xdr:colOff>383908</xdr:colOff>
      <xdr:row>33</xdr:row>
      <xdr:rowOff>31750</xdr:rowOff>
    </xdr:to>
    <xdr:graphicFrame macro="">
      <xdr:nvGraphicFramePr>
        <xdr:cNvPr id="5" name="Chart 4">
          <a:extLst>
            <a:ext uri="{FF2B5EF4-FFF2-40B4-BE49-F238E27FC236}">
              <a16:creationId xmlns:a16="http://schemas.microsoft.com/office/drawing/2014/main" id="{B8803290-AD56-4ADD-903B-99C670A4EA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36</xdr:row>
      <xdr:rowOff>0</xdr:rowOff>
    </xdr:from>
    <xdr:to>
      <xdr:col>8</xdr:col>
      <xdr:colOff>736600</xdr:colOff>
      <xdr:row>58</xdr:row>
      <xdr:rowOff>44450</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610FFFCB-FB99-BBF5-F51F-55790B5232F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14300" y="5441950"/>
              <a:ext cx="4972050" cy="409575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552450</xdr:colOff>
      <xdr:row>43</xdr:row>
      <xdr:rowOff>19050</xdr:rowOff>
    </xdr:from>
    <xdr:to>
      <xdr:col>24</xdr:col>
      <xdr:colOff>82550</xdr:colOff>
      <xdr:row>55</xdr:row>
      <xdr:rowOff>19050</xdr:rowOff>
    </xdr:to>
    <xdr:pic>
      <xdr:nvPicPr>
        <xdr:cNvPr id="3" name="Picture 2">
          <a:extLst>
            <a:ext uri="{FF2B5EF4-FFF2-40B4-BE49-F238E27FC236}">
              <a16:creationId xmlns:a16="http://schemas.microsoft.com/office/drawing/2014/main" id="{72FFF1BF-777D-6376-D1F7-BE71A66213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2400" y="5695950"/>
          <a:ext cx="1968500" cy="1968500"/>
        </a:xfrm>
        <a:prstGeom prst="rect">
          <a:avLst/>
        </a:prstGeom>
      </xdr:spPr>
    </xdr:pic>
    <xdr:clientData/>
  </xdr:twoCellAnchor>
  <xdr:twoCellAnchor>
    <xdr:from>
      <xdr:col>9</xdr:col>
      <xdr:colOff>12700</xdr:colOff>
      <xdr:row>3</xdr:row>
      <xdr:rowOff>6350</xdr:rowOff>
    </xdr:from>
    <xdr:to>
      <xdr:col>23</xdr:col>
      <xdr:colOff>596900</xdr:colOff>
      <xdr:row>43</xdr:row>
      <xdr:rowOff>177800</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D347145D-D7A3-B5D6-19E6-18894C41627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3949700" y="368300"/>
              <a:ext cx="9118600" cy="536575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25</xdr:col>
      <xdr:colOff>15240</xdr:colOff>
      <xdr:row>2</xdr:row>
      <xdr:rowOff>58420</xdr:rowOff>
    </xdr:from>
    <xdr:to>
      <xdr:col>27</xdr:col>
      <xdr:colOff>1788160</xdr:colOff>
      <xdr:row>43</xdr:row>
      <xdr:rowOff>172720</xdr:rowOff>
    </xdr:to>
    <xdr:graphicFrame macro="">
      <xdr:nvGraphicFramePr>
        <xdr:cNvPr id="2" name="Chart 1">
          <a:extLst>
            <a:ext uri="{FF2B5EF4-FFF2-40B4-BE49-F238E27FC236}">
              <a16:creationId xmlns:a16="http://schemas.microsoft.com/office/drawing/2014/main" id="{B45959D6-0466-58DA-4840-FDF2494FDE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inkedin.com/company/asimplemodel" TargetMode="External"/><Relationship Id="rId2" Type="http://schemas.openxmlformats.org/officeDocument/2006/relationships/hyperlink" Target="https://www.tiktok.com/@asimplemodel" TargetMode="External"/><Relationship Id="rId1" Type="http://schemas.openxmlformats.org/officeDocument/2006/relationships/hyperlink" Target="https://www.instagram.com/asimplemode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1A8E-75B0-4369-99C6-BFC470148C18}">
  <dimension ref="B2:I23"/>
  <sheetViews>
    <sheetView showGridLines="0" tabSelected="1" zoomScale="125" zoomScaleNormal="125" workbookViewId="0"/>
  </sheetViews>
  <sheetFormatPr defaultRowHeight="14.5" outlineLevelCol="1" x14ac:dyDescent="0.35"/>
  <cols>
    <col min="1" max="1" width="1.6328125" customWidth="1"/>
    <col min="2" max="2" width="5.6328125" customWidth="1"/>
    <col min="3" max="3" width="30.6328125" customWidth="1"/>
    <col min="4" max="5" width="3.6328125" customWidth="1"/>
    <col min="7" max="7" width="1.6328125" customWidth="1"/>
    <col min="8" max="8" width="56.26953125" hidden="1" customWidth="1" outlineLevel="1"/>
    <col min="9" max="9" width="8.7265625" collapsed="1"/>
  </cols>
  <sheetData>
    <row r="2" spans="2:8" ht="26" x14ac:dyDescent="0.6">
      <c r="B2" s="80" t="s">
        <v>51</v>
      </c>
    </row>
    <row r="3" spans="2:8" x14ac:dyDescent="0.35">
      <c r="B3" s="79" t="s">
        <v>27</v>
      </c>
    </row>
    <row r="4" spans="2:8" ht="5" customHeight="1" x14ac:dyDescent="0.35"/>
    <row r="5" spans="2:8" x14ac:dyDescent="0.35">
      <c r="B5" s="5" t="s">
        <v>33</v>
      </c>
      <c r="C5" s="5"/>
      <c r="D5" s="5"/>
      <c r="E5" s="5"/>
      <c r="F5" s="5"/>
    </row>
    <row r="6" spans="2:8" ht="5" customHeight="1" x14ac:dyDescent="0.35"/>
    <row r="7" spans="2:8" x14ac:dyDescent="0.35">
      <c r="B7" s="2">
        <v>1</v>
      </c>
      <c r="C7" s="9" t="s">
        <v>51</v>
      </c>
      <c r="D7" s="9"/>
      <c r="E7" s="9"/>
      <c r="F7" s="85" t="s">
        <v>81</v>
      </c>
    </row>
    <row r="8" spans="2:8" x14ac:dyDescent="0.35">
      <c r="B8" s="2">
        <v>2</v>
      </c>
      <c r="C8" s="9" t="s">
        <v>26</v>
      </c>
      <c r="D8" s="9"/>
      <c r="E8" s="9"/>
      <c r="F8" s="85" t="s">
        <v>81</v>
      </c>
    </row>
    <row r="9" spans="2:8" ht="5" customHeight="1" x14ac:dyDescent="0.35">
      <c r="F9" s="86"/>
    </row>
    <row r="10" spans="2:8" x14ac:dyDescent="0.35">
      <c r="B10" s="5" t="s">
        <v>79</v>
      </c>
      <c r="C10" s="5"/>
      <c r="D10" s="5"/>
      <c r="E10" s="5"/>
      <c r="F10" s="87"/>
    </row>
    <row r="11" spans="2:8" ht="5" customHeight="1" x14ac:dyDescent="0.35">
      <c r="F11" s="86"/>
    </row>
    <row r="12" spans="2:8" x14ac:dyDescent="0.35">
      <c r="B12" s="2">
        <v>1</v>
      </c>
      <c r="C12" s="9" t="s">
        <v>80</v>
      </c>
      <c r="D12" s="9"/>
      <c r="E12" s="9"/>
      <c r="F12" s="85" t="str">
        <f>HYPERLINK(H12,"LINK")</f>
        <v>LINK</v>
      </c>
      <c r="H12" t="s">
        <v>82</v>
      </c>
    </row>
    <row r="13" spans="2:8" ht="5" customHeight="1" x14ac:dyDescent="0.35">
      <c r="F13" s="86"/>
    </row>
    <row r="14" spans="2:8" x14ac:dyDescent="0.35">
      <c r="B14" s="5" t="s">
        <v>34</v>
      </c>
      <c r="C14" s="5"/>
      <c r="D14" s="5"/>
      <c r="E14" s="5"/>
      <c r="F14" s="87"/>
    </row>
    <row r="15" spans="2:8" ht="5" customHeight="1" x14ac:dyDescent="0.35">
      <c r="F15" s="86"/>
    </row>
    <row r="16" spans="2:8" x14ac:dyDescent="0.35">
      <c r="B16" s="2">
        <v>1</v>
      </c>
      <c r="C16" s="9" t="s">
        <v>37</v>
      </c>
      <c r="D16" s="9"/>
      <c r="E16" s="9"/>
      <c r="F16" s="85" t="str">
        <f>HYPERLINK(H16,"LINK")</f>
        <v>LINK</v>
      </c>
      <c r="H16" t="s">
        <v>83</v>
      </c>
    </row>
    <row r="17" spans="2:8" x14ac:dyDescent="0.35">
      <c r="B17" s="2">
        <v>2</v>
      </c>
      <c r="C17" s="9" t="s">
        <v>35</v>
      </c>
      <c r="D17" s="9"/>
      <c r="E17" s="9"/>
      <c r="F17" s="85" t="str">
        <f>HYPERLINK(H17,"LINK")</f>
        <v>LINK</v>
      </c>
      <c r="H17" s="82" t="s">
        <v>84</v>
      </c>
    </row>
    <row r="18" spans="2:8" x14ac:dyDescent="0.35">
      <c r="B18" s="2">
        <v>3</v>
      </c>
      <c r="C18" s="9" t="s">
        <v>86</v>
      </c>
      <c r="D18" s="9"/>
      <c r="E18" s="9"/>
      <c r="F18" s="85" t="str">
        <f>HYPERLINK(H18,"LINK")</f>
        <v>LINK</v>
      </c>
      <c r="H18" s="82" t="s">
        <v>87</v>
      </c>
    </row>
    <row r="19" spans="2:8" x14ac:dyDescent="0.35">
      <c r="B19" s="2">
        <v>4</v>
      </c>
      <c r="C19" s="9" t="s">
        <v>36</v>
      </c>
      <c r="D19" s="9"/>
      <c r="E19" s="9"/>
      <c r="F19" s="85" t="str">
        <f>HYPERLINK(H19,"LINK")</f>
        <v>LINK</v>
      </c>
      <c r="H19" s="82" t="s">
        <v>85</v>
      </c>
    </row>
    <row r="20" spans="2:8" ht="5" customHeight="1" x14ac:dyDescent="0.35">
      <c r="B20" s="2"/>
      <c r="F20" s="81"/>
      <c r="H20" s="82"/>
    </row>
    <row r="21" spans="2:8" ht="3" customHeight="1" x14ac:dyDescent="0.35">
      <c r="B21" s="5"/>
      <c r="C21" s="5"/>
      <c r="D21" s="5"/>
      <c r="E21" s="5"/>
      <c r="F21" s="5"/>
      <c r="H21" s="82"/>
    </row>
    <row r="22" spans="2:8" ht="5" customHeight="1" x14ac:dyDescent="0.35"/>
    <row r="23" spans="2:8" ht="88" customHeight="1" x14ac:dyDescent="0.35">
      <c r="B23" s="84" t="s">
        <v>78</v>
      </c>
      <c r="C23" s="84"/>
      <c r="D23" s="84"/>
      <c r="E23" s="84"/>
      <c r="F23" s="84"/>
    </row>
  </sheetData>
  <mergeCells count="1">
    <mergeCell ref="B23:F23"/>
  </mergeCells>
  <hyperlinks>
    <hyperlink ref="F7" location="'Independent Sponsor Comp'!A1" display="LINK" xr:uid="{99FCD520-F1A0-43E8-8F5F-B9BBD304C048}"/>
    <hyperlink ref="F8" location="Waterfall!A1" display="LINK" xr:uid="{A7334CBB-20DC-460D-ADAB-4983DFBDDEE7}"/>
    <hyperlink ref="H17" r:id="rId1" xr:uid="{AA61A573-CAD5-4B0F-9AC8-D9E943ABEB56}"/>
    <hyperlink ref="H19" r:id="rId2" xr:uid="{E42C2FCB-B4AD-4B01-8BA6-7E65A33F270A}"/>
    <hyperlink ref="H18" r:id="rId3" xr:uid="{CFB3FD73-3C91-4579-8E2D-D9F0A01C88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7B3A2-0AB3-43F3-B5C5-8DE6BC1D6321}">
  <dimension ref="B2:K110"/>
  <sheetViews>
    <sheetView showGridLines="0" zoomScale="115" zoomScaleNormal="115" workbookViewId="0"/>
  </sheetViews>
  <sheetFormatPr defaultRowHeight="14.5" x14ac:dyDescent="0.35"/>
  <cols>
    <col min="1" max="1" width="1.6328125" customWidth="1"/>
    <col min="2" max="2" width="6.6328125" customWidth="1"/>
    <col min="3" max="5" width="10.6328125" customWidth="1"/>
    <col min="6" max="6" width="0.81640625" customWidth="1"/>
    <col min="7" max="9" width="10.6328125" customWidth="1"/>
  </cols>
  <sheetData>
    <row r="2" spans="2:10" ht="16" x14ac:dyDescent="0.4">
      <c r="B2" s="72" t="s">
        <v>51</v>
      </c>
    </row>
    <row r="3" spans="2:10" ht="5" customHeight="1" x14ac:dyDescent="0.35"/>
    <row r="4" spans="2:10" ht="14.5" customHeight="1" x14ac:dyDescent="0.35">
      <c r="B4" s="5" t="s">
        <v>67</v>
      </c>
      <c r="C4" s="5"/>
      <c r="D4" s="5"/>
      <c r="E4" s="5"/>
      <c r="G4" s="5" t="s">
        <v>54</v>
      </c>
      <c r="H4" s="5"/>
      <c r="I4" s="5"/>
      <c r="J4" s="6"/>
    </row>
    <row r="5" spans="2:10" ht="5" customHeight="1" x14ac:dyDescent="0.35"/>
    <row r="6" spans="2:10" ht="14.5" customHeight="1" x14ac:dyDescent="0.35">
      <c r="B6" s="56" t="s">
        <v>61</v>
      </c>
      <c r="C6" s="56"/>
      <c r="D6" s="56"/>
      <c r="E6" s="67">
        <v>46022</v>
      </c>
      <c r="G6" s="56" t="s">
        <v>52</v>
      </c>
      <c r="H6" s="57"/>
      <c r="I6" s="62">
        <v>0.02</v>
      </c>
    </row>
    <row r="7" spans="2:10" ht="5" customHeight="1" x14ac:dyDescent="0.35"/>
    <row r="8" spans="2:10" ht="14.5" customHeight="1" x14ac:dyDescent="0.35">
      <c r="B8" s="56" t="s">
        <v>58</v>
      </c>
      <c r="C8" s="57"/>
      <c r="D8" s="57"/>
      <c r="E8" s="68">
        <v>3000</v>
      </c>
      <c r="G8" s="56" t="s">
        <v>48</v>
      </c>
      <c r="H8" s="57"/>
      <c r="I8" s="57"/>
    </row>
    <row r="9" spans="2:10" ht="14.5" customHeight="1" x14ac:dyDescent="0.35">
      <c r="B9" s="56" t="s">
        <v>59</v>
      </c>
      <c r="C9" s="57"/>
      <c r="D9" s="57"/>
      <c r="E9" s="69">
        <v>0.05</v>
      </c>
      <c r="G9" s="61" t="s">
        <v>53</v>
      </c>
      <c r="H9" s="57"/>
      <c r="I9" s="62">
        <v>0.05</v>
      </c>
    </row>
    <row r="10" spans="2:10" ht="14.5" customHeight="1" x14ac:dyDescent="0.35">
      <c r="B10" s="56" t="s">
        <v>68</v>
      </c>
      <c r="C10" s="57"/>
      <c r="D10" s="57"/>
      <c r="E10" s="70">
        <v>5</v>
      </c>
      <c r="G10" s="61" t="s">
        <v>56</v>
      </c>
      <c r="H10" s="57"/>
      <c r="I10" s="63">
        <v>250</v>
      </c>
    </row>
    <row r="11" spans="2:10" ht="14.5" customHeight="1" x14ac:dyDescent="0.35">
      <c r="B11" s="56" t="s">
        <v>69</v>
      </c>
      <c r="C11" s="57"/>
      <c r="D11" s="57"/>
      <c r="E11" s="70">
        <v>5</v>
      </c>
      <c r="G11" s="61" t="s">
        <v>55</v>
      </c>
      <c r="H11" s="57"/>
      <c r="I11" s="63">
        <v>500</v>
      </c>
    </row>
    <row r="12" spans="2:10" ht="5" customHeight="1" x14ac:dyDescent="0.35"/>
    <row r="13" spans="2:10" ht="14.5" customHeight="1" x14ac:dyDescent="0.35">
      <c r="B13" s="56" t="s">
        <v>57</v>
      </c>
      <c r="C13" s="57"/>
      <c r="D13" s="58">
        <v>0.5</v>
      </c>
      <c r="E13" s="59">
        <f>$E$21*D13</f>
        <v>7500</v>
      </c>
      <c r="G13" s="60" t="s">
        <v>50</v>
      </c>
      <c r="H13" s="57"/>
      <c r="I13" s="57"/>
    </row>
    <row r="14" spans="2:10" ht="14.5" customHeight="1" x14ac:dyDescent="0.35">
      <c r="B14" s="56" t="s">
        <v>62</v>
      </c>
      <c r="C14" s="57"/>
      <c r="D14" s="58">
        <f>1-D13</f>
        <v>0.5</v>
      </c>
      <c r="E14" s="59">
        <f>$E$21*D14</f>
        <v>7500</v>
      </c>
      <c r="G14" s="61" t="s">
        <v>22</v>
      </c>
      <c r="H14" s="57"/>
      <c r="I14" s="62">
        <v>0.08</v>
      </c>
    </row>
    <row r="15" spans="2:10" ht="14.5" customHeight="1" x14ac:dyDescent="0.35">
      <c r="B15" s="56" t="s">
        <v>72</v>
      </c>
      <c r="C15" s="57"/>
      <c r="D15" s="58">
        <v>0.5</v>
      </c>
      <c r="E15" s="59">
        <f>D15*E8</f>
        <v>1500</v>
      </c>
      <c r="G15" s="61" t="s">
        <v>65</v>
      </c>
      <c r="H15" s="57"/>
      <c r="I15" s="62">
        <v>0.2</v>
      </c>
    </row>
    <row r="16" spans="2:10" ht="5" customHeight="1" x14ac:dyDescent="0.35">
      <c r="B16" s="9"/>
      <c r="D16" s="47"/>
      <c r="E16" s="1"/>
      <c r="G16" s="45"/>
      <c r="I16" s="48"/>
    </row>
    <row r="17" spans="2:9" ht="14.5" customHeight="1" x14ac:dyDescent="0.35">
      <c r="B17" s="56" t="s">
        <v>60</v>
      </c>
      <c r="C17" s="57"/>
      <c r="D17" s="57"/>
      <c r="E17" s="71">
        <v>5</v>
      </c>
      <c r="G17" s="52"/>
      <c r="H17" s="52"/>
      <c r="I17" s="52"/>
    </row>
    <row r="18" spans="2:9" ht="5" customHeight="1" x14ac:dyDescent="0.35"/>
    <row r="19" spans="2:9" x14ac:dyDescent="0.35">
      <c r="B19" s="5" t="s">
        <v>64</v>
      </c>
      <c r="C19" s="44" t="s">
        <v>44</v>
      </c>
      <c r="D19" s="44" t="s">
        <v>73</v>
      </c>
      <c r="E19" s="44" t="s">
        <v>45</v>
      </c>
      <c r="F19" s="2"/>
      <c r="G19" s="44" t="s">
        <v>47</v>
      </c>
      <c r="H19" s="44" t="s">
        <v>49</v>
      </c>
      <c r="I19" s="44" t="s">
        <v>65</v>
      </c>
    </row>
    <row r="20" spans="2:9" ht="5" customHeight="1" x14ac:dyDescent="0.35">
      <c r="C20" s="2"/>
      <c r="D20" s="2"/>
      <c r="E20" s="2"/>
      <c r="F20" s="2"/>
      <c r="G20" s="2"/>
      <c r="H20" s="2"/>
      <c r="I20" s="2"/>
    </row>
    <row r="21" spans="2:9" x14ac:dyDescent="0.35">
      <c r="B21" s="55" t="s">
        <v>46</v>
      </c>
      <c r="C21" s="49">
        <f>E8</f>
        <v>3000</v>
      </c>
      <c r="D21" s="52"/>
      <c r="E21" s="46">
        <f>C21*E10</f>
        <v>15000</v>
      </c>
      <c r="G21" s="1">
        <f>E21*I6</f>
        <v>300</v>
      </c>
      <c r="H21" s="52"/>
      <c r="I21" s="52"/>
    </row>
    <row r="22" spans="2:9" x14ac:dyDescent="0.35">
      <c r="B22" s="43">
        <v>1</v>
      </c>
      <c r="C22" s="46">
        <f>IF($E$17&gt;=B22,C21*(1+$E$9),"NA")</f>
        <v>3150</v>
      </c>
      <c r="D22" s="46">
        <f>IF($E$17&gt;=B22,D21+$D$15*C22,0)</f>
        <v>1575</v>
      </c>
      <c r="E22" s="46">
        <f>IF($E$17=B22,C22*$E$11,0)</f>
        <v>0</v>
      </c>
      <c r="G22" s="52"/>
      <c r="H22" s="46">
        <f t="shared" ref="H22:H31" si="0">IF(B22&lt;=$E$17,MIN($I$11,MAX($I$10,$I$9*C22)),0)</f>
        <v>250</v>
      </c>
      <c r="I22" s="46">
        <f t="shared" ref="I22:I31" si="1">IF(B22=$E$17,$I$93,0)</f>
        <v>0</v>
      </c>
    </row>
    <row r="23" spans="2:9" x14ac:dyDescent="0.35">
      <c r="B23" s="43">
        <f>+B22+1</f>
        <v>2</v>
      </c>
      <c r="C23" s="46">
        <f t="shared" ref="C23:C31" si="2">IF($E$17&gt;=B23,C22*(1+$E$9),0)</f>
        <v>3307.5</v>
      </c>
      <c r="D23" s="46">
        <f t="shared" ref="D23:D31" si="3">IF($E$17&gt;=B23,D22+$D$15*C23,0)</f>
        <v>3228.75</v>
      </c>
      <c r="E23" s="46">
        <f t="shared" ref="E23:E31" si="4">IF($E$17=B23,C23*$E$11,0)</f>
        <v>0</v>
      </c>
      <c r="G23" s="52"/>
      <c r="H23" s="46">
        <f t="shared" si="0"/>
        <v>250</v>
      </c>
      <c r="I23" s="46">
        <f t="shared" si="1"/>
        <v>0</v>
      </c>
    </row>
    <row r="24" spans="2:9" x14ac:dyDescent="0.35">
      <c r="B24" s="43">
        <f t="shared" ref="B24:B31" si="5">+B23+1</f>
        <v>3</v>
      </c>
      <c r="C24" s="46">
        <f t="shared" si="2"/>
        <v>3472.875</v>
      </c>
      <c r="D24" s="46">
        <f t="shared" si="3"/>
        <v>4965.1875</v>
      </c>
      <c r="E24" s="46">
        <f t="shared" si="4"/>
        <v>0</v>
      </c>
      <c r="G24" s="52"/>
      <c r="H24" s="46">
        <f t="shared" si="0"/>
        <v>250</v>
      </c>
      <c r="I24" s="46">
        <f t="shared" si="1"/>
        <v>0</v>
      </c>
    </row>
    <row r="25" spans="2:9" x14ac:dyDescent="0.35">
      <c r="B25" s="43">
        <f t="shared" si="5"/>
        <v>4</v>
      </c>
      <c r="C25" s="46">
        <f t="shared" si="2"/>
        <v>3646.5187500000002</v>
      </c>
      <c r="D25" s="46">
        <f t="shared" si="3"/>
        <v>6788.4468749999996</v>
      </c>
      <c r="E25" s="46">
        <f t="shared" si="4"/>
        <v>0</v>
      </c>
      <c r="G25" s="52"/>
      <c r="H25" s="46">
        <f t="shared" si="0"/>
        <v>250</v>
      </c>
      <c r="I25" s="46">
        <f t="shared" si="1"/>
        <v>0</v>
      </c>
    </row>
    <row r="26" spans="2:9" x14ac:dyDescent="0.35">
      <c r="B26" s="43">
        <f t="shared" si="5"/>
        <v>5</v>
      </c>
      <c r="C26" s="46">
        <f t="shared" si="2"/>
        <v>3828.8446875000004</v>
      </c>
      <c r="D26" s="46">
        <f t="shared" si="3"/>
        <v>8702.8692187500001</v>
      </c>
      <c r="E26" s="46">
        <f t="shared" si="4"/>
        <v>19144.223437500001</v>
      </c>
      <c r="G26" s="52"/>
      <c r="H26" s="46">
        <f t="shared" si="0"/>
        <v>250</v>
      </c>
      <c r="I26" s="46">
        <f t="shared" si="1"/>
        <v>2569.4185312500003</v>
      </c>
    </row>
    <row r="27" spans="2:9" x14ac:dyDescent="0.35">
      <c r="B27" s="43">
        <f t="shared" si="5"/>
        <v>6</v>
      </c>
      <c r="C27" s="46">
        <f t="shared" si="2"/>
        <v>0</v>
      </c>
      <c r="D27" s="46">
        <f t="shared" si="3"/>
        <v>0</v>
      </c>
      <c r="E27" s="46">
        <f t="shared" si="4"/>
        <v>0</v>
      </c>
      <c r="G27" s="52"/>
      <c r="H27" s="46">
        <f t="shared" si="0"/>
        <v>0</v>
      </c>
      <c r="I27" s="46">
        <f t="shared" si="1"/>
        <v>0</v>
      </c>
    </row>
    <row r="28" spans="2:9" x14ac:dyDescent="0.35">
      <c r="B28" s="43">
        <f t="shared" si="5"/>
        <v>7</v>
      </c>
      <c r="C28" s="46">
        <f t="shared" si="2"/>
        <v>0</v>
      </c>
      <c r="D28" s="46">
        <f t="shared" si="3"/>
        <v>0</v>
      </c>
      <c r="E28" s="46">
        <f t="shared" si="4"/>
        <v>0</v>
      </c>
      <c r="G28" s="52"/>
      <c r="H28" s="46">
        <f t="shared" si="0"/>
        <v>0</v>
      </c>
      <c r="I28" s="46">
        <f t="shared" si="1"/>
        <v>0</v>
      </c>
    </row>
    <row r="29" spans="2:9" x14ac:dyDescent="0.35">
      <c r="B29" s="43">
        <f t="shared" si="5"/>
        <v>8</v>
      </c>
      <c r="C29" s="46">
        <f t="shared" si="2"/>
        <v>0</v>
      </c>
      <c r="D29" s="46">
        <f t="shared" si="3"/>
        <v>0</v>
      </c>
      <c r="E29" s="46">
        <f t="shared" si="4"/>
        <v>0</v>
      </c>
      <c r="G29" s="52"/>
      <c r="H29" s="46">
        <f t="shared" si="0"/>
        <v>0</v>
      </c>
      <c r="I29" s="46">
        <f t="shared" si="1"/>
        <v>0</v>
      </c>
    </row>
    <row r="30" spans="2:9" x14ac:dyDescent="0.35">
      <c r="B30" s="43">
        <f t="shared" si="5"/>
        <v>9</v>
      </c>
      <c r="C30" s="46">
        <f t="shared" si="2"/>
        <v>0</v>
      </c>
      <c r="D30" s="46">
        <f t="shared" si="3"/>
        <v>0</v>
      </c>
      <c r="E30" s="46">
        <f t="shared" si="4"/>
        <v>0</v>
      </c>
      <c r="G30" s="52"/>
      <c r="H30" s="46">
        <f t="shared" si="0"/>
        <v>0</v>
      </c>
      <c r="I30" s="46">
        <f t="shared" si="1"/>
        <v>0</v>
      </c>
    </row>
    <row r="31" spans="2:9" x14ac:dyDescent="0.35">
      <c r="B31" s="43">
        <f t="shared" si="5"/>
        <v>10</v>
      </c>
      <c r="C31" s="46">
        <f t="shared" si="2"/>
        <v>0</v>
      </c>
      <c r="D31" s="46">
        <f t="shared" si="3"/>
        <v>0</v>
      </c>
      <c r="E31" s="46">
        <f t="shared" si="4"/>
        <v>0</v>
      </c>
      <c r="G31" s="52"/>
      <c r="H31" s="46">
        <f t="shared" si="0"/>
        <v>0</v>
      </c>
      <c r="I31" s="46">
        <f t="shared" si="1"/>
        <v>0</v>
      </c>
    </row>
    <row r="32" spans="2:9" ht="5" customHeight="1" x14ac:dyDescent="0.35">
      <c r="B32" s="43"/>
      <c r="C32" s="46"/>
      <c r="D32" s="46"/>
      <c r="H32" s="46"/>
    </row>
    <row r="33" spans="2:11" x14ac:dyDescent="0.35">
      <c r="B33" s="73" t="s">
        <v>66</v>
      </c>
      <c r="C33" s="74"/>
      <c r="D33" s="74"/>
      <c r="E33" s="75"/>
      <c r="F33" s="75"/>
      <c r="G33" s="76">
        <f>SUM(G21:G31)</f>
        <v>300</v>
      </c>
      <c r="H33" s="76">
        <f t="shared" ref="H33:I33" si="6">SUM(H21:H31)</f>
        <v>1250</v>
      </c>
      <c r="I33" s="77">
        <f t="shared" si="6"/>
        <v>2569.4185312500003</v>
      </c>
      <c r="K33" s="1"/>
    </row>
    <row r="34" spans="2:11" ht="5" customHeight="1" x14ac:dyDescent="0.35">
      <c r="B34" s="43"/>
    </row>
    <row r="35" spans="2:11" x14ac:dyDescent="0.35">
      <c r="B35" s="5" t="s">
        <v>26</v>
      </c>
      <c r="C35" s="5"/>
      <c r="D35" s="5"/>
      <c r="E35" s="5"/>
      <c r="F35" s="5"/>
      <c r="G35" s="5"/>
      <c r="H35" s="5"/>
      <c r="I35" s="5"/>
    </row>
    <row r="36" spans="2:11" ht="5" customHeight="1" x14ac:dyDescent="0.35"/>
    <row r="37" spans="2:11" ht="14.5" customHeight="1" x14ac:dyDescent="0.35"/>
    <row r="38" spans="2:11" ht="14.5" customHeight="1" x14ac:dyDescent="0.35"/>
    <row r="39" spans="2:11" ht="14.5" customHeight="1" x14ac:dyDescent="0.35"/>
    <row r="40" spans="2:11" ht="14.5" customHeight="1" x14ac:dyDescent="0.35"/>
    <row r="41" spans="2:11" ht="14.5" customHeight="1" x14ac:dyDescent="0.35"/>
    <row r="42" spans="2:11" ht="14.5" customHeight="1" x14ac:dyDescent="0.35"/>
    <row r="43" spans="2:11" ht="14.5" customHeight="1" x14ac:dyDescent="0.35"/>
    <row r="44" spans="2:11" ht="14.5" customHeight="1" x14ac:dyDescent="0.35"/>
    <row r="45" spans="2:11" ht="14.5" customHeight="1" x14ac:dyDescent="0.35"/>
    <row r="46" spans="2:11" ht="14.5" customHeight="1" x14ac:dyDescent="0.35"/>
    <row r="47" spans="2:11" ht="14.5" customHeight="1" x14ac:dyDescent="0.35"/>
    <row r="48" spans="2:11" ht="14.5" customHeight="1" x14ac:dyDescent="0.35"/>
    <row r="49" spans="2:11" ht="14.5" customHeight="1" x14ac:dyDescent="0.35"/>
    <row r="50" spans="2:11" ht="14.5" customHeight="1" x14ac:dyDescent="0.35"/>
    <row r="51" spans="2:11" ht="14.5" customHeight="1" x14ac:dyDescent="0.35"/>
    <row r="52" spans="2:11" ht="14.5" customHeight="1" x14ac:dyDescent="0.35"/>
    <row r="53" spans="2:11" ht="14.5" customHeight="1" x14ac:dyDescent="0.35"/>
    <row r="54" spans="2:11" ht="14.5" customHeight="1" x14ac:dyDescent="0.35"/>
    <row r="55" spans="2:11" ht="14.5" customHeight="1" x14ac:dyDescent="0.35"/>
    <row r="56" spans="2:11" ht="14.5" customHeight="1" x14ac:dyDescent="0.35"/>
    <row r="57" spans="2:11" ht="14.5" customHeight="1" x14ac:dyDescent="0.35"/>
    <row r="58" spans="2:11" ht="14.5" customHeight="1" x14ac:dyDescent="0.35"/>
    <row r="59" spans="2:11" ht="5" customHeight="1" x14ac:dyDescent="0.35"/>
    <row r="60" spans="2:11" ht="5" customHeight="1" x14ac:dyDescent="0.35"/>
    <row r="61" spans="2:11" x14ac:dyDescent="0.35">
      <c r="B61" s="9" t="s">
        <v>1</v>
      </c>
      <c r="C61" s="9"/>
      <c r="D61" s="9"/>
      <c r="E61" s="9"/>
      <c r="F61" s="9"/>
      <c r="G61" s="50">
        <f>E6</f>
        <v>46022</v>
      </c>
      <c r="H61" s="9"/>
      <c r="I61" s="51">
        <f>E13</f>
        <v>7500</v>
      </c>
    </row>
    <row r="62" spans="2:11" ht="5" customHeight="1" x14ac:dyDescent="0.35">
      <c r="G62" s="8"/>
      <c r="I62" s="1"/>
    </row>
    <row r="63" spans="2:11" x14ac:dyDescent="0.35">
      <c r="B63" s="9" t="s">
        <v>0</v>
      </c>
      <c r="C63" s="9"/>
      <c r="D63" s="9"/>
      <c r="E63" s="9"/>
      <c r="F63" s="9"/>
      <c r="G63" s="50">
        <f>EOMONTH(G61,12*E17)</f>
        <v>47848</v>
      </c>
      <c r="H63" s="9"/>
      <c r="I63" s="51">
        <f>_xlfn.XLOOKUP($E$17,$B$22:$B$31,E22:E31,,0)+_xlfn.XLOOKUP($E$17,$B$22:$B$31,D22:D31,,0)-$E$14</f>
        <v>20347.092656250003</v>
      </c>
      <c r="K63" s="1"/>
    </row>
    <row r="64" spans="2:11" ht="5" customHeight="1" x14ac:dyDescent="0.35"/>
    <row r="65" spans="2:9" x14ac:dyDescent="0.35">
      <c r="B65" s="28" t="s">
        <v>8</v>
      </c>
      <c r="C65" s="29"/>
      <c r="D65" s="29"/>
      <c r="E65" s="29"/>
      <c r="F65" s="29"/>
      <c r="G65" s="29"/>
      <c r="H65" s="29"/>
      <c r="I65" s="30">
        <f>ROUND((I63/I61)^(1/YEARFRAC(G61,G63))-1,4)</f>
        <v>0.22090000000000001</v>
      </c>
    </row>
    <row r="66" spans="2:9" ht="5" customHeight="1" x14ac:dyDescent="0.35"/>
    <row r="67" spans="2:9" x14ac:dyDescent="0.35">
      <c r="B67" s="56" t="s">
        <v>15</v>
      </c>
      <c r="C67" s="56"/>
      <c r="D67" s="56"/>
      <c r="E67" s="56"/>
      <c r="F67" s="56"/>
      <c r="G67" s="64" t="s">
        <v>16</v>
      </c>
      <c r="H67" s="64"/>
      <c r="I67" s="64" t="s">
        <v>17</v>
      </c>
    </row>
    <row r="68" spans="2:9" ht="5" customHeight="1" x14ac:dyDescent="0.35">
      <c r="G68" s="2"/>
      <c r="H68" s="2"/>
      <c r="I68" s="2"/>
    </row>
    <row r="69" spans="2:9" x14ac:dyDescent="0.35">
      <c r="B69" t="s">
        <v>5</v>
      </c>
      <c r="G69" s="3">
        <v>0</v>
      </c>
      <c r="I69" s="1">
        <f>I61</f>
        <v>7500</v>
      </c>
    </row>
    <row r="70" spans="2:9" x14ac:dyDescent="0.35">
      <c r="B70" t="s">
        <v>6</v>
      </c>
      <c r="G70" s="53">
        <f>I14</f>
        <v>0.08</v>
      </c>
      <c r="I70" s="1">
        <f>I61*(1+G70)^YEARFRAC($G$61,$G$63)</f>
        <v>11019.960576000003</v>
      </c>
    </row>
    <row r="71" spans="2:9" ht="5" customHeight="1" x14ac:dyDescent="0.35"/>
    <row r="72" spans="2:9" x14ac:dyDescent="0.35">
      <c r="B72" s="56" t="s">
        <v>39</v>
      </c>
      <c r="C72" s="56"/>
      <c r="D72" s="56"/>
      <c r="E72" s="56"/>
      <c r="F72" s="56"/>
      <c r="G72" s="57"/>
      <c r="H72" s="57"/>
      <c r="I72" s="57"/>
    </row>
    <row r="73" spans="2:9" ht="5" customHeight="1" x14ac:dyDescent="0.35">
      <c r="B73" s="9"/>
      <c r="C73" s="9"/>
      <c r="D73" s="9"/>
      <c r="E73" s="9"/>
      <c r="F73" s="9"/>
    </row>
    <row r="74" spans="2:9" x14ac:dyDescent="0.35">
      <c r="B74" s="9" t="s">
        <v>3</v>
      </c>
      <c r="C74" s="9"/>
      <c r="D74" s="9"/>
      <c r="E74" s="9"/>
      <c r="F74" s="9"/>
      <c r="G74" s="19"/>
      <c r="H74" s="9"/>
      <c r="I74" s="20">
        <f>MIN(I70,I63)</f>
        <v>11019.960576000003</v>
      </c>
    </row>
    <row r="75" spans="2:9" ht="5" customHeight="1" x14ac:dyDescent="0.35">
      <c r="G75" s="17"/>
      <c r="I75" s="1"/>
    </row>
    <row r="76" spans="2:9" x14ac:dyDescent="0.35">
      <c r="B76" s="21" t="s">
        <v>9</v>
      </c>
      <c r="C76" s="22"/>
      <c r="D76" s="22"/>
      <c r="E76" s="22"/>
      <c r="F76" s="22"/>
      <c r="G76" s="23"/>
      <c r="H76" s="22"/>
      <c r="I76" s="24">
        <f>MAX(0,I63-I74)</f>
        <v>9327.1320802499995</v>
      </c>
    </row>
    <row r="77" spans="2:9" ht="5" customHeight="1" x14ac:dyDescent="0.35">
      <c r="G77" s="17"/>
      <c r="I77" s="1"/>
    </row>
    <row r="78" spans="2:9" x14ac:dyDescent="0.35">
      <c r="B78" s="56" t="s">
        <v>40</v>
      </c>
      <c r="C78" s="56"/>
      <c r="D78" s="56"/>
      <c r="E78" s="56"/>
      <c r="F78" s="56"/>
      <c r="G78" s="65" t="s">
        <v>19</v>
      </c>
      <c r="H78" s="57"/>
      <c r="I78" s="59"/>
    </row>
    <row r="79" spans="2:9" ht="5" customHeight="1" x14ac:dyDescent="0.35">
      <c r="B79" s="9"/>
      <c r="C79" s="9"/>
      <c r="D79" s="9"/>
      <c r="E79" s="9"/>
      <c r="F79" s="9"/>
      <c r="G79" s="19"/>
      <c r="I79" s="1"/>
    </row>
    <row r="80" spans="2:9" x14ac:dyDescent="0.35">
      <c r="B80" s="9" t="s">
        <v>63</v>
      </c>
      <c r="C80" s="9"/>
      <c r="D80" s="9"/>
      <c r="E80" s="9"/>
      <c r="F80" s="9"/>
      <c r="G80" s="54">
        <f>I15</f>
        <v>0.2</v>
      </c>
      <c r="H80" s="9"/>
      <c r="I80" s="20">
        <f>MAX(0,MIN(I76,((I74-I69)/(1-G80)-(I74-I69))))</f>
        <v>879.99014400000033</v>
      </c>
    </row>
    <row r="81" spans="2:10" ht="5" customHeight="1" x14ac:dyDescent="0.35">
      <c r="G81" s="17"/>
      <c r="I81" s="1"/>
    </row>
    <row r="82" spans="2:10" x14ac:dyDescent="0.35">
      <c r="B82" s="21" t="s">
        <v>9</v>
      </c>
      <c r="C82" s="22"/>
      <c r="D82" s="22"/>
      <c r="E82" s="22"/>
      <c r="F82" s="22"/>
      <c r="G82" s="23"/>
      <c r="H82" s="22"/>
      <c r="I82" s="24">
        <f>MAX(0,I76-I80)</f>
        <v>8447.1419362499983</v>
      </c>
    </row>
    <row r="83" spans="2:10" ht="5" customHeight="1" x14ac:dyDescent="0.35">
      <c r="G83" s="17"/>
      <c r="I83" s="1"/>
    </row>
    <row r="84" spans="2:10" x14ac:dyDescent="0.35">
      <c r="B84" s="56" t="s">
        <v>41</v>
      </c>
      <c r="C84" s="56"/>
      <c r="D84" s="56"/>
      <c r="E84" s="56"/>
      <c r="F84" s="56"/>
      <c r="G84" s="65" t="s">
        <v>18</v>
      </c>
      <c r="H84" s="56"/>
      <c r="I84" s="66"/>
    </row>
    <row r="85" spans="2:10" ht="5" customHeight="1" x14ac:dyDescent="0.35">
      <c r="B85" s="9"/>
      <c r="C85" s="9"/>
      <c r="D85" s="9"/>
      <c r="E85" s="9"/>
      <c r="F85" s="9"/>
      <c r="G85" s="19"/>
      <c r="H85" s="9"/>
      <c r="I85" s="20"/>
    </row>
    <row r="86" spans="2:10" x14ac:dyDescent="0.35">
      <c r="B86" s="9" t="s">
        <v>63</v>
      </c>
      <c r="C86" s="9"/>
      <c r="D86" s="9"/>
      <c r="E86" s="9"/>
      <c r="F86" s="9"/>
      <c r="G86" s="54">
        <f>I15</f>
        <v>0.2</v>
      </c>
      <c r="H86" s="9"/>
      <c r="I86" s="20">
        <f>$I$82*G86</f>
        <v>1689.4283872499998</v>
      </c>
    </row>
    <row r="87" spans="2:10" x14ac:dyDescent="0.35">
      <c r="B87" s="9" t="s">
        <v>3</v>
      </c>
      <c r="C87" s="9"/>
      <c r="D87" s="9"/>
      <c r="E87" s="9"/>
      <c r="F87" s="9"/>
      <c r="G87" s="54">
        <f>1-G86</f>
        <v>0.8</v>
      </c>
      <c r="H87" s="9"/>
      <c r="I87" s="20">
        <f>$I$82*G87</f>
        <v>6757.7135489999991</v>
      </c>
    </row>
    <row r="88" spans="2:10" ht="5" customHeight="1" x14ac:dyDescent="0.35">
      <c r="G88" s="4"/>
      <c r="I88" s="1"/>
    </row>
    <row r="89" spans="2:10" x14ac:dyDescent="0.35">
      <c r="B89" s="21" t="s">
        <v>10</v>
      </c>
      <c r="C89" s="22"/>
      <c r="D89" s="22"/>
      <c r="E89" s="22"/>
      <c r="F89" s="22"/>
      <c r="G89" s="31"/>
      <c r="H89" s="22"/>
      <c r="I89" s="24">
        <f>SUBTOTAL(9,I86:I87)</f>
        <v>8447.1419362499983</v>
      </c>
    </row>
    <row r="90" spans="2:10" ht="5" customHeight="1" x14ac:dyDescent="0.35">
      <c r="G90" s="4"/>
      <c r="I90" s="1"/>
    </row>
    <row r="91" spans="2:10" x14ac:dyDescent="0.35">
      <c r="B91" s="5" t="s">
        <v>70</v>
      </c>
      <c r="C91" s="5"/>
      <c r="D91" s="5"/>
      <c r="E91" s="5"/>
      <c r="F91" s="5"/>
      <c r="G91" s="5"/>
      <c r="H91" s="5"/>
      <c r="I91" s="5"/>
    </row>
    <row r="92" spans="2:10" ht="5" customHeight="1" x14ac:dyDescent="0.35">
      <c r="G92" s="4"/>
      <c r="I92" s="1"/>
    </row>
    <row r="93" spans="2:10" x14ac:dyDescent="0.35">
      <c r="B93" s="9" t="s">
        <v>63</v>
      </c>
      <c r="C93" s="9"/>
      <c r="D93" s="9"/>
      <c r="E93" s="9"/>
      <c r="F93" s="9"/>
      <c r="G93" s="19">
        <f>I93/(I63-I61)</f>
        <v>0.19999999999999998</v>
      </c>
      <c r="H93" s="9"/>
      <c r="I93" s="20">
        <f>I80+I86</f>
        <v>2569.4185312500003</v>
      </c>
      <c r="J93" s="83"/>
    </row>
    <row r="94" spans="2:10" x14ac:dyDescent="0.35">
      <c r="B94" s="9" t="s">
        <v>3</v>
      </c>
      <c r="C94" s="9"/>
      <c r="D94" s="9"/>
      <c r="E94" s="9"/>
      <c r="F94" s="9"/>
      <c r="G94" s="19"/>
      <c r="H94" s="9"/>
      <c r="I94" s="20">
        <f>I74+I87</f>
        <v>17777.674125000001</v>
      </c>
    </row>
    <row r="95" spans="2:10" x14ac:dyDescent="0.35">
      <c r="B95" s="26" t="s">
        <v>12</v>
      </c>
      <c r="C95" s="26"/>
      <c r="D95" s="26"/>
      <c r="E95" s="26"/>
      <c r="F95" s="26"/>
      <c r="G95" s="26"/>
      <c r="H95" s="26"/>
      <c r="I95" s="27">
        <f>SUBTOTAL(9,I93:I94)</f>
        <v>20347.092656250003</v>
      </c>
    </row>
    <row r="96" spans="2:10" ht="5" customHeight="1" x14ac:dyDescent="0.35"/>
    <row r="97" spans="2:9" x14ac:dyDescent="0.35">
      <c r="B97" s="5" t="s">
        <v>74</v>
      </c>
      <c r="C97" s="5"/>
      <c r="D97" s="5"/>
      <c r="E97" s="5"/>
      <c r="F97" s="5"/>
      <c r="G97" s="5"/>
      <c r="H97" s="44"/>
      <c r="I97" s="44"/>
    </row>
    <row r="98" spans="2:9" ht="14.5" customHeight="1" x14ac:dyDescent="0.35">
      <c r="B98" s="1"/>
      <c r="C98" s="1"/>
      <c r="D98" s="1"/>
      <c r="H98" s="2" t="s">
        <v>42</v>
      </c>
      <c r="I98" s="2" t="s">
        <v>43</v>
      </c>
    </row>
    <row r="99" spans="2:9" x14ac:dyDescent="0.35">
      <c r="B99" t="s">
        <v>1</v>
      </c>
      <c r="C99" s="1"/>
      <c r="D99" s="1"/>
      <c r="H99" s="1">
        <f>I61</f>
        <v>7500</v>
      </c>
      <c r="I99" s="78">
        <v>0</v>
      </c>
    </row>
    <row r="100" spans="2:9" x14ac:dyDescent="0.35">
      <c r="B100" t="s">
        <v>71</v>
      </c>
      <c r="C100" s="1"/>
      <c r="D100" s="1"/>
      <c r="H100" s="78">
        <v>0</v>
      </c>
      <c r="I100" s="1">
        <f>I74</f>
        <v>11019.960576000003</v>
      </c>
    </row>
    <row r="101" spans="2:9" x14ac:dyDescent="0.35">
      <c r="B101" t="s">
        <v>23</v>
      </c>
      <c r="C101" s="1"/>
      <c r="D101" s="1"/>
      <c r="H101" s="78">
        <v>0</v>
      </c>
      <c r="I101" s="1">
        <f>I80</f>
        <v>879.99014400000033</v>
      </c>
    </row>
    <row r="102" spans="2:9" x14ac:dyDescent="0.35">
      <c r="B102" t="s">
        <v>24</v>
      </c>
      <c r="H102" s="78">
        <v>0</v>
      </c>
      <c r="I102" s="1">
        <f>I89</f>
        <v>8447.1419362499983</v>
      </c>
    </row>
    <row r="103" spans="2:9" x14ac:dyDescent="0.35">
      <c r="B103" t="s">
        <v>25</v>
      </c>
      <c r="H103" s="78">
        <v>0</v>
      </c>
      <c r="I103" s="1">
        <f>I95</f>
        <v>20347.092656250003</v>
      </c>
    </row>
    <row r="104" spans="2:9" ht="5" customHeight="1" x14ac:dyDescent="0.35"/>
    <row r="105" spans="2:9" x14ac:dyDescent="0.35">
      <c r="B105" s="5" t="s">
        <v>75</v>
      </c>
      <c r="C105" s="5"/>
      <c r="D105" s="5"/>
      <c r="E105" s="5"/>
      <c r="F105" s="5"/>
      <c r="G105" s="5"/>
      <c r="H105" s="44"/>
      <c r="I105" s="44"/>
    </row>
    <row r="106" spans="2:9" x14ac:dyDescent="0.35">
      <c r="B106" t="s">
        <v>1</v>
      </c>
      <c r="D106" s="1"/>
      <c r="I106" s="1">
        <f>I69</f>
        <v>7500</v>
      </c>
    </row>
    <row r="107" spans="2:9" x14ac:dyDescent="0.35">
      <c r="B107" t="s">
        <v>76</v>
      </c>
      <c r="D107" s="1"/>
      <c r="I107" s="1">
        <f>I74</f>
        <v>11019.960576000003</v>
      </c>
    </row>
    <row r="108" spans="2:9" x14ac:dyDescent="0.35">
      <c r="B108" t="s">
        <v>19</v>
      </c>
      <c r="D108" s="1"/>
      <c r="I108" s="1">
        <f>I80</f>
        <v>879.99014400000033</v>
      </c>
    </row>
    <row r="109" spans="2:9" x14ac:dyDescent="0.35">
      <c r="B109" t="s">
        <v>77</v>
      </c>
      <c r="I109" s="1">
        <f>I89</f>
        <v>8447.1419362499983</v>
      </c>
    </row>
    <row r="110" spans="2:9" x14ac:dyDescent="0.35">
      <c r="B110" t="s">
        <v>25</v>
      </c>
      <c r="I110" s="1">
        <f>I103</f>
        <v>20347.092656250003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3528-8420-4675-B663-2AB3A8560D1C}">
  <dimension ref="B1:AG56"/>
  <sheetViews>
    <sheetView showGridLines="0" zoomScale="130" zoomScaleNormal="130" workbookViewId="0"/>
  </sheetViews>
  <sheetFormatPr defaultRowHeight="14.5" outlineLevelCol="1" x14ac:dyDescent="0.35"/>
  <cols>
    <col min="1" max="1" width="1.6328125" customWidth="1"/>
    <col min="2" max="2" width="17.453125" bestFit="1" customWidth="1"/>
    <col min="3" max="3" width="1.6328125" customWidth="1"/>
    <col min="4" max="4" width="17.54296875" bestFit="1" customWidth="1"/>
    <col min="5" max="5" width="1.6328125" customWidth="1"/>
    <col min="6" max="6" width="15.6328125" customWidth="1"/>
    <col min="7" max="7" width="0.81640625" customWidth="1"/>
    <col min="8" max="8" width="5.6328125" hidden="1" customWidth="1" outlineLevel="1"/>
    <col min="9" max="9" width="0.81640625" hidden="1" customWidth="1" outlineLevel="1"/>
    <col min="10" max="10" width="8.7265625" customWidth="1" collapsed="1"/>
    <col min="11" max="11" width="8.7265625" customWidth="1"/>
    <col min="25" max="25" width="1.6328125" customWidth="1"/>
    <col min="26" max="26" width="16.36328125" bestFit="1" customWidth="1"/>
    <col min="27" max="28" width="15.6328125" customWidth="1"/>
    <col min="29" max="29" width="1.6328125" customWidth="1"/>
    <col min="30" max="33" width="10.6328125" customWidth="1"/>
  </cols>
  <sheetData>
    <row r="1" spans="2:8" ht="5" customHeight="1" x14ac:dyDescent="0.35"/>
    <row r="2" spans="2:8" ht="18.5" x14ac:dyDescent="0.45">
      <c r="B2" s="7" t="s">
        <v>28</v>
      </c>
      <c r="C2" s="7"/>
      <c r="D2" s="7"/>
      <c r="E2" s="7"/>
      <c r="F2" s="7"/>
    </row>
    <row r="3" spans="2:8" ht="5" customHeight="1" x14ac:dyDescent="0.35"/>
    <row r="4" spans="2:8" ht="14.5" customHeight="1" x14ac:dyDescent="0.35">
      <c r="B4" s="5" t="s">
        <v>13</v>
      </c>
      <c r="C4" s="5"/>
      <c r="D4" s="5"/>
      <c r="E4" s="5"/>
      <c r="F4" s="5"/>
      <c r="H4" s="37" t="s">
        <v>38</v>
      </c>
    </row>
    <row r="5" spans="2:8" ht="5" customHeight="1" x14ac:dyDescent="0.35">
      <c r="H5" s="38"/>
    </row>
    <row r="6" spans="2:8" x14ac:dyDescent="0.35">
      <c r="B6" s="9" t="s">
        <v>1</v>
      </c>
      <c r="C6" s="9"/>
      <c r="D6" s="10">
        <v>46022</v>
      </c>
      <c r="E6" s="9"/>
      <c r="F6" s="11">
        <v>-10000000</v>
      </c>
      <c r="H6" s="38"/>
    </row>
    <row r="7" spans="2:8" ht="5" customHeight="1" x14ac:dyDescent="0.35">
      <c r="D7" s="8"/>
      <c r="F7" s="1"/>
      <c r="H7" s="38"/>
    </row>
    <row r="8" spans="2:8" x14ac:dyDescent="0.35">
      <c r="B8" s="9" t="s">
        <v>0</v>
      </c>
      <c r="C8" s="9"/>
      <c r="D8" s="10">
        <v>47848</v>
      </c>
      <c r="E8" s="9"/>
      <c r="F8" s="11">
        <v>30000000</v>
      </c>
      <c r="H8" s="38"/>
    </row>
    <row r="9" spans="2:8" ht="5" customHeight="1" x14ac:dyDescent="0.35">
      <c r="H9" s="38"/>
    </row>
    <row r="10" spans="2:8" ht="14.5" customHeight="1" x14ac:dyDescent="0.35">
      <c r="B10" s="28" t="s">
        <v>8</v>
      </c>
      <c r="C10" s="29"/>
      <c r="D10" s="29"/>
      <c r="E10" s="29"/>
      <c r="F10" s="30">
        <f>ROUND((F8/-F6)^(1/YEARFRAC(D6,D8))-1,4)</f>
        <v>0.2457</v>
      </c>
      <c r="H10" s="38"/>
    </row>
    <row r="11" spans="2:8" ht="5" customHeight="1" x14ac:dyDescent="0.35">
      <c r="H11" s="38"/>
    </row>
    <row r="12" spans="2:8" x14ac:dyDescent="0.35">
      <c r="B12" s="5" t="s">
        <v>14</v>
      </c>
      <c r="C12" s="5"/>
      <c r="D12" s="5"/>
      <c r="E12" s="5"/>
      <c r="F12" s="5"/>
      <c r="H12" s="38"/>
    </row>
    <row r="13" spans="2:8" ht="5" customHeight="1" x14ac:dyDescent="0.35">
      <c r="B13" s="6"/>
      <c r="C13" s="6"/>
      <c r="D13" s="6"/>
      <c r="E13" s="6"/>
      <c r="F13" s="6"/>
      <c r="H13" s="38"/>
    </row>
    <row r="14" spans="2:8" x14ac:dyDescent="0.35">
      <c r="B14" s="14" t="s">
        <v>15</v>
      </c>
      <c r="C14" s="14"/>
      <c r="D14" s="16" t="s">
        <v>16</v>
      </c>
      <c r="E14" s="16"/>
      <c r="F14" s="16" t="s">
        <v>17</v>
      </c>
      <c r="H14" s="38"/>
    </row>
    <row r="15" spans="2:8" ht="5" customHeight="1" x14ac:dyDescent="0.35">
      <c r="D15" s="2"/>
      <c r="E15" s="2"/>
      <c r="F15" s="2"/>
      <c r="H15" s="38"/>
    </row>
    <row r="16" spans="2:8" x14ac:dyDescent="0.35">
      <c r="B16" t="s">
        <v>5</v>
      </c>
      <c r="D16" s="3">
        <v>0</v>
      </c>
      <c r="F16" s="1">
        <f>-F6</f>
        <v>10000000</v>
      </c>
      <c r="H16" s="38"/>
    </row>
    <row r="17" spans="2:10" x14ac:dyDescent="0.35">
      <c r="B17" t="s">
        <v>6</v>
      </c>
      <c r="D17" s="3">
        <v>0.08</v>
      </c>
      <c r="F17" s="1">
        <f>-$F$6*(1+D17)^YEARFRAC($D$6,$D$8)</f>
        <v>14693280.768000003</v>
      </c>
      <c r="H17" s="38"/>
    </row>
    <row r="18" spans="2:10" ht="5" customHeight="1" x14ac:dyDescent="0.35">
      <c r="H18" s="38"/>
    </row>
    <row r="19" spans="2:10" x14ac:dyDescent="0.35">
      <c r="B19" s="5" t="s">
        <v>7</v>
      </c>
      <c r="C19" s="5"/>
      <c r="D19" s="5"/>
      <c r="E19" s="5"/>
      <c r="F19" s="5"/>
      <c r="H19" s="38"/>
    </row>
    <row r="20" spans="2:10" ht="5" customHeight="1" x14ac:dyDescent="0.35">
      <c r="H20" s="38"/>
    </row>
    <row r="21" spans="2:10" x14ac:dyDescent="0.35">
      <c r="B21" s="14" t="s">
        <v>39</v>
      </c>
      <c r="C21" s="12"/>
      <c r="D21" s="12"/>
      <c r="E21" s="12"/>
      <c r="F21" s="12"/>
      <c r="H21" s="38"/>
    </row>
    <row r="22" spans="2:10" ht="5" customHeight="1" x14ac:dyDescent="0.35">
      <c r="B22" s="9"/>
      <c r="H22" s="38"/>
    </row>
    <row r="23" spans="2:10" x14ac:dyDescent="0.35">
      <c r="B23" s="9" t="s">
        <v>3</v>
      </c>
      <c r="C23" s="9"/>
      <c r="D23" s="19"/>
      <c r="E23" s="9"/>
      <c r="F23" s="20">
        <f>MIN(F17,F8)</f>
        <v>14693280.768000003</v>
      </c>
      <c r="H23" s="38"/>
    </row>
    <row r="24" spans="2:10" ht="5" customHeight="1" x14ac:dyDescent="0.35">
      <c r="D24" s="17"/>
      <c r="F24" s="1"/>
      <c r="H24" s="38"/>
    </row>
    <row r="25" spans="2:10" x14ac:dyDescent="0.35">
      <c r="B25" s="21" t="s">
        <v>9</v>
      </c>
      <c r="C25" s="22"/>
      <c r="D25" s="23"/>
      <c r="E25" s="22"/>
      <c r="F25" s="24">
        <f>MAX(0,F8-F23)</f>
        <v>15306719.231999997</v>
      </c>
      <c r="H25" s="38"/>
    </row>
    <row r="26" spans="2:10" ht="5" customHeight="1" x14ac:dyDescent="0.35">
      <c r="D26" s="17"/>
      <c r="F26" s="1"/>
      <c r="H26" s="38"/>
    </row>
    <row r="27" spans="2:10" x14ac:dyDescent="0.35">
      <c r="B27" s="14" t="s">
        <v>40</v>
      </c>
      <c r="C27" s="12"/>
      <c r="D27" s="18" t="s">
        <v>19</v>
      </c>
      <c r="E27" s="12"/>
      <c r="F27" s="13"/>
      <c r="H27" s="38"/>
    </row>
    <row r="28" spans="2:10" ht="5" customHeight="1" x14ac:dyDescent="0.35">
      <c r="B28" s="9"/>
      <c r="D28" s="19"/>
      <c r="F28" s="1"/>
      <c r="H28" s="38"/>
    </row>
    <row r="29" spans="2:10" x14ac:dyDescent="0.35">
      <c r="B29" s="9" t="s">
        <v>2</v>
      </c>
      <c r="C29" s="9"/>
      <c r="D29" s="25">
        <v>0.2</v>
      </c>
      <c r="E29" s="9"/>
      <c r="F29" s="20">
        <f>MAX(0,MIN(F25,((F23-F16)/(1-D29)-(F23-F16))))</f>
        <v>1173320.1920000007</v>
      </c>
      <c r="H29" s="38"/>
      <c r="J29" s="32"/>
    </row>
    <row r="30" spans="2:10" ht="5" customHeight="1" x14ac:dyDescent="0.35">
      <c r="D30" s="17"/>
      <c r="F30" s="1"/>
      <c r="H30" s="38"/>
    </row>
    <row r="31" spans="2:10" x14ac:dyDescent="0.35">
      <c r="B31" s="21" t="s">
        <v>9</v>
      </c>
      <c r="C31" s="22"/>
      <c r="D31" s="23"/>
      <c r="E31" s="22"/>
      <c r="F31" s="24">
        <f>MAX(0,F25-F29)</f>
        <v>14133399.039999995</v>
      </c>
      <c r="H31" s="38"/>
    </row>
    <row r="32" spans="2:10" ht="5" customHeight="1" x14ac:dyDescent="0.35">
      <c r="D32" s="17"/>
      <c r="F32" s="1"/>
      <c r="H32" s="38"/>
    </row>
    <row r="33" spans="2:33" x14ac:dyDescent="0.35">
      <c r="B33" s="14" t="s">
        <v>41</v>
      </c>
      <c r="C33" s="14"/>
      <c r="D33" s="18" t="s">
        <v>18</v>
      </c>
      <c r="E33" s="14"/>
      <c r="F33" s="15"/>
      <c r="H33" s="38"/>
    </row>
    <row r="34" spans="2:33" ht="5" customHeight="1" x14ac:dyDescent="0.35">
      <c r="B34" s="9"/>
      <c r="C34" s="9"/>
      <c r="D34" s="19"/>
      <c r="E34" s="9"/>
      <c r="F34" s="20"/>
      <c r="H34" s="38"/>
    </row>
    <row r="35" spans="2:33" x14ac:dyDescent="0.35">
      <c r="B35" s="9" t="s">
        <v>2</v>
      </c>
      <c r="C35" s="9"/>
      <c r="D35" s="25">
        <v>0.2</v>
      </c>
      <c r="E35" s="9"/>
      <c r="F35" s="20">
        <f>$F$31*D35</f>
        <v>2826679.8079999993</v>
      </c>
      <c r="H35" s="38"/>
    </row>
    <row r="36" spans="2:33" x14ac:dyDescent="0.35">
      <c r="B36" s="9" t="s">
        <v>3</v>
      </c>
      <c r="C36" s="9"/>
      <c r="D36" s="25">
        <v>0.8</v>
      </c>
      <c r="E36" s="9"/>
      <c r="F36" s="20">
        <f>$F$31*D36</f>
        <v>11306719.231999997</v>
      </c>
      <c r="H36" s="38"/>
    </row>
    <row r="37" spans="2:33" ht="5" customHeight="1" x14ac:dyDescent="0.35">
      <c r="D37" s="4"/>
      <c r="F37" s="1"/>
      <c r="H37" s="38"/>
    </row>
    <row r="38" spans="2:33" x14ac:dyDescent="0.35">
      <c r="B38" s="21" t="s">
        <v>10</v>
      </c>
      <c r="C38" s="22"/>
      <c r="D38" s="31"/>
      <c r="E38" s="22"/>
      <c r="F38" s="24">
        <f>SUBTOTAL(9,F35:F36)</f>
        <v>14133399.039999995</v>
      </c>
      <c r="H38" s="38"/>
    </row>
    <row r="39" spans="2:33" ht="5" customHeight="1" x14ac:dyDescent="0.35">
      <c r="D39" s="4"/>
      <c r="F39" s="1"/>
      <c r="H39" s="38"/>
    </row>
    <row r="40" spans="2:33" x14ac:dyDescent="0.35">
      <c r="B40" s="5" t="s">
        <v>11</v>
      </c>
      <c r="C40" s="5"/>
      <c r="D40" s="5"/>
      <c r="E40" s="5"/>
      <c r="F40" s="5"/>
      <c r="H40" s="38"/>
    </row>
    <row r="41" spans="2:33" ht="5" customHeight="1" x14ac:dyDescent="0.35">
      <c r="D41" s="4"/>
      <c r="F41" s="1"/>
      <c r="H41" s="38"/>
    </row>
    <row r="42" spans="2:33" x14ac:dyDescent="0.35">
      <c r="B42" s="9" t="s">
        <v>2</v>
      </c>
      <c r="C42" s="9"/>
      <c r="D42" s="19">
        <f>F42/$F$44</f>
        <v>0.13333333333333333</v>
      </c>
      <c r="E42" s="9"/>
      <c r="F42" s="20">
        <f>F29+F35</f>
        <v>4000000</v>
      </c>
      <c r="G42" s="36"/>
      <c r="H42" s="39">
        <f>F42/SUM(F6:F8)</f>
        <v>0.2</v>
      </c>
      <c r="I42" s="36"/>
    </row>
    <row r="43" spans="2:33" x14ac:dyDescent="0.35">
      <c r="B43" s="9" t="s">
        <v>3</v>
      </c>
      <c r="C43" s="9"/>
      <c r="D43" s="19">
        <f>F43/$F$44</f>
        <v>0.8666666666666667</v>
      </c>
      <c r="E43" s="9"/>
      <c r="F43" s="20">
        <f>F23+F36</f>
        <v>26000000</v>
      </c>
      <c r="H43" s="38"/>
    </row>
    <row r="44" spans="2:33" x14ac:dyDescent="0.35">
      <c r="B44" s="26" t="s">
        <v>12</v>
      </c>
      <c r="C44" s="26"/>
      <c r="D44" s="26"/>
      <c r="E44" s="26"/>
      <c r="F44" s="27">
        <f>SUBTOTAL(9,F42:F43)</f>
        <v>30000000</v>
      </c>
      <c r="H44" s="38"/>
    </row>
    <row r="45" spans="2:33" ht="5" customHeight="1" x14ac:dyDescent="0.35">
      <c r="D45" s="1"/>
      <c r="H45" s="38"/>
    </row>
    <row r="46" spans="2:33" x14ac:dyDescent="0.35">
      <c r="B46" s="34" t="s">
        <v>20</v>
      </c>
      <c r="C46" s="33"/>
      <c r="D46" s="33"/>
      <c r="E46" s="33"/>
      <c r="F46" s="33"/>
      <c r="H46" s="38"/>
      <c r="J46" s="34" t="s">
        <v>4</v>
      </c>
      <c r="K46" s="33"/>
      <c r="L46" s="33"/>
      <c r="M46" s="33"/>
      <c r="N46" s="33"/>
      <c r="O46" s="33"/>
      <c r="P46" s="33"/>
      <c r="Q46" s="33"/>
      <c r="R46" s="33"/>
      <c r="S46" s="33"/>
      <c r="T46" s="33"/>
      <c r="U46" s="33"/>
      <c r="V46" s="33"/>
      <c r="W46" s="33"/>
      <c r="X46" s="33"/>
      <c r="Z46" s="34" t="s">
        <v>20</v>
      </c>
      <c r="AA46" s="33"/>
      <c r="AB46" s="33"/>
      <c r="AC46" s="42"/>
      <c r="AD46" s="42"/>
      <c r="AE46" s="42"/>
      <c r="AF46" s="42"/>
      <c r="AG46" s="42"/>
    </row>
    <row r="47" spans="2:33" ht="5" customHeight="1" x14ac:dyDescent="0.35"/>
    <row r="48" spans="2:33" x14ac:dyDescent="0.35">
      <c r="B48" t="s">
        <v>1</v>
      </c>
      <c r="F48" s="1">
        <f>-F6</f>
        <v>10000000</v>
      </c>
      <c r="J48" t="s">
        <v>29</v>
      </c>
      <c r="AA48" s="2" t="s">
        <v>42</v>
      </c>
      <c r="AB48" s="2" t="s">
        <v>43</v>
      </c>
      <c r="AD48" s="40"/>
      <c r="AE48" s="40"/>
      <c r="AF48" s="40"/>
    </row>
    <row r="49" spans="2:32" x14ac:dyDescent="0.35">
      <c r="B49" t="s">
        <v>21</v>
      </c>
      <c r="F49" s="1">
        <f>MIN(-F6,F8)</f>
        <v>10000000</v>
      </c>
      <c r="J49" t="s">
        <v>30</v>
      </c>
      <c r="Z49" s="1" t="str">
        <f>B48</f>
        <v>Capital Invested</v>
      </c>
      <c r="AA49" s="1">
        <f>F48</f>
        <v>10000000</v>
      </c>
      <c r="AB49" s="1">
        <v>0</v>
      </c>
      <c r="AC49" s="38"/>
      <c r="AD49" s="41"/>
      <c r="AE49" s="38"/>
      <c r="AF49" s="38"/>
    </row>
    <row r="50" spans="2:32" x14ac:dyDescent="0.35">
      <c r="B50" t="s">
        <v>22</v>
      </c>
      <c r="F50" s="1">
        <f>MAX(0,F23-F49)</f>
        <v>4693280.768000003</v>
      </c>
      <c r="J50" t="s">
        <v>31</v>
      </c>
      <c r="Z50" s="1" t="str">
        <f t="shared" ref="Z50:Z53" si="0">B49</f>
        <v>Return of Capital</v>
      </c>
      <c r="AA50" s="1">
        <v>0</v>
      </c>
      <c r="AB50" s="1">
        <f>F49</f>
        <v>10000000</v>
      </c>
      <c r="AC50" s="41"/>
      <c r="AD50" s="41"/>
      <c r="AE50" s="41"/>
      <c r="AF50" s="41"/>
    </row>
    <row r="51" spans="2:32" x14ac:dyDescent="0.35">
      <c r="B51" t="s">
        <v>23</v>
      </c>
      <c r="F51" s="1">
        <f>F29</f>
        <v>1173320.1920000007</v>
      </c>
      <c r="J51" t="s">
        <v>32</v>
      </c>
      <c r="Z51" s="1" t="str">
        <f t="shared" si="0"/>
        <v>Preferred Return</v>
      </c>
      <c r="AA51" s="1">
        <v>0</v>
      </c>
      <c r="AB51" s="1">
        <f t="shared" ref="AB51:AB53" si="1">F50</f>
        <v>4693280.768000003</v>
      </c>
      <c r="AD51" s="1"/>
    </row>
    <row r="52" spans="2:32" x14ac:dyDescent="0.35">
      <c r="B52" t="s">
        <v>24</v>
      </c>
      <c r="F52" s="1">
        <f>F38</f>
        <v>14133399.039999995</v>
      </c>
      <c r="Z52" s="1" t="str">
        <f t="shared" si="0"/>
        <v>GP Catch-Up</v>
      </c>
      <c r="AA52" s="1">
        <v>0</v>
      </c>
      <c r="AB52" s="1">
        <f t="shared" si="1"/>
        <v>1173320.1920000007</v>
      </c>
      <c r="AD52" s="1"/>
    </row>
    <row r="53" spans="2:32" x14ac:dyDescent="0.35">
      <c r="B53" t="s">
        <v>25</v>
      </c>
      <c r="F53" s="1">
        <f>F44</f>
        <v>30000000</v>
      </c>
      <c r="Z53" s="1" t="str">
        <f t="shared" si="0"/>
        <v>LP/GP 80/20 Split</v>
      </c>
      <c r="AA53" s="1">
        <v>0</v>
      </c>
      <c r="AB53" s="1">
        <f t="shared" si="1"/>
        <v>14133399.039999995</v>
      </c>
      <c r="AD53" s="1"/>
    </row>
    <row r="56" spans="2:32" x14ac:dyDescent="0.35">
      <c r="J56" s="3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Description</vt:lpstr>
      <vt:lpstr>Independent Sponsor Comp</vt:lpstr>
      <vt:lpstr>Waterfall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Lynch</dc:creator>
  <cp:lastModifiedBy>Peter Lynch</cp:lastModifiedBy>
  <dcterms:created xsi:type="dcterms:W3CDTF">2025-02-11T19:15:44Z</dcterms:created>
  <dcterms:modified xsi:type="dcterms:W3CDTF">2025-02-26T20:11:00Z</dcterms:modified>
</cp:coreProperties>
</file>